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f3c83893ec8420d/Documentos/26. Magister 2023/3. TFM 2024/2. TFM nuestro 2024/"/>
    </mc:Choice>
  </mc:AlternateContent>
  <xr:revisionPtr revIDLastSave="37" documentId="13_ncr:1_{E0FB209C-CBA2-4D88-9807-763448EA12F6}" xr6:coauthVersionLast="47" xr6:coauthVersionMax="47" xr10:uidLastSave="{AD696479-A53E-4256-8422-8624849822AF}"/>
  <bookViews>
    <workbookView xWindow="-110" yWindow="-110" windowWidth="38620" windowHeight="21100" xr2:uid="{F08EEB48-E129-4778-BDB2-4F3A6EF17AA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1" i="1" l="1"/>
  <c r="R141" i="1"/>
  <c r="T141" i="1"/>
  <c r="O143" i="1"/>
  <c r="R143" i="1"/>
  <c r="T143" i="1"/>
  <c r="O145" i="1"/>
  <c r="O147" i="1" s="1"/>
  <c r="O149" i="1" s="1"/>
  <c r="O151" i="1" s="1"/>
  <c r="O153" i="1" s="1"/>
  <c r="O155" i="1" s="1"/>
  <c r="O157" i="1" s="1"/>
  <c r="O159" i="1" s="1"/>
  <c r="O161" i="1" s="1"/>
  <c r="O163" i="1" s="1"/>
  <c r="O165" i="1" s="1"/>
  <c r="O167" i="1" s="1"/>
  <c r="R145" i="1"/>
  <c r="R147" i="1" s="1"/>
  <c r="T145" i="1"/>
  <c r="T139" i="1"/>
  <c r="T137" i="1"/>
  <c r="T135" i="1"/>
  <c r="T133" i="1"/>
  <c r="T131" i="1"/>
  <c r="T129" i="1"/>
  <c r="T127" i="1"/>
  <c r="T125" i="1"/>
  <c r="T121" i="1"/>
  <c r="T123" i="1"/>
  <c r="T119" i="1"/>
  <c r="T117" i="1"/>
  <c r="R119" i="1"/>
  <c r="R121" i="1" s="1"/>
  <c r="T147" i="1" l="1"/>
  <c r="R149" i="1"/>
  <c r="R123" i="1"/>
  <c r="H292" i="1"/>
  <c r="T149" i="1" l="1"/>
  <c r="R151" i="1"/>
  <c r="R125" i="1"/>
  <c r="Y22" i="1"/>
  <c r="W17" i="1"/>
  <c r="W18" i="1" s="1"/>
  <c r="W19" i="1" s="1"/>
  <c r="W20" i="1" s="1"/>
  <c r="W21" i="1" s="1"/>
  <c r="Y9" i="1"/>
  <c r="O119" i="1"/>
  <c r="O121" i="1" s="1"/>
  <c r="O123" i="1" s="1"/>
  <c r="O125" i="1" s="1"/>
  <c r="O127" i="1" s="1"/>
  <c r="O129" i="1" s="1"/>
  <c r="O131" i="1" s="1"/>
  <c r="O133" i="1" s="1"/>
  <c r="O135" i="1" s="1"/>
  <c r="O137" i="1" s="1"/>
  <c r="O139" i="1" s="1"/>
  <c r="H97" i="1"/>
  <c r="G94" i="1"/>
  <c r="T151" i="1" l="1"/>
  <c r="R153" i="1"/>
  <c r="R127" i="1"/>
  <c r="T153" i="1" l="1"/>
  <c r="R155" i="1"/>
  <c r="R129" i="1"/>
  <c r="T155" i="1" l="1"/>
  <c r="R157" i="1"/>
  <c r="R131" i="1"/>
  <c r="T157" i="1" l="1"/>
  <c r="R159" i="1"/>
  <c r="R133" i="1"/>
  <c r="T159" i="1" l="1"/>
  <c r="R161" i="1"/>
  <c r="R135" i="1"/>
  <c r="R163" i="1" l="1"/>
  <c r="T161" i="1"/>
  <c r="R137" i="1"/>
  <c r="T163" i="1" l="1"/>
  <c r="R165" i="1"/>
  <c r="R139" i="1"/>
  <c r="T165" i="1" l="1"/>
  <c r="R167" i="1"/>
  <c r="T167" i="1" l="1"/>
  <c r="W121" i="1"/>
</calcChain>
</file>

<file path=xl/sharedStrings.xml><?xml version="1.0" encoding="utf-8"?>
<sst xmlns="http://schemas.openxmlformats.org/spreadsheetml/2006/main" count="1094" uniqueCount="765">
  <si>
    <t>CÓDIGO</t>
  </si>
  <si>
    <t>DESCRIPCIÓN</t>
  </si>
  <si>
    <t>PRECIO UNITARIO</t>
  </si>
  <si>
    <t>CANTIDAD</t>
  </si>
  <si>
    <t>IMPORTE</t>
  </si>
  <si>
    <t>C01.1</t>
  </si>
  <si>
    <t>ESTRUCTURA DE SOPORTE|</t>
  </si>
  <si>
    <t>Estructura de soporte de 4,5 metros de altura</t>
  </si>
  <si>
    <t>300 € / cadena</t>
  </si>
  <si>
    <t>25.200.000,00 €</t>
  </si>
  <si>
    <t>MANO DE OBRA|</t>
  </si>
  <si>
    <t>Mano de obra del hincado y montaje de estructura de soporte</t>
  </si>
  <si>
    <t>3.000 € / jornada</t>
  </si>
  <si>
    <t>135.000,00 €</t>
  </si>
  <si>
    <t>ALQUILER MÁQUINA HINCADO</t>
  </si>
  <si>
    <t>Alquiler máquina hincado</t>
  </si>
  <si>
    <r>
      <t>2.000</t>
    </r>
    <r>
      <rPr>
        <sz val="11"/>
        <color rgb="FF000000"/>
        <rFont val="Calibri"/>
        <family val="2"/>
      </rPr>
      <t xml:space="preserve"> </t>
    </r>
    <r>
      <rPr>
        <sz val="8"/>
        <color rgb="FF000000"/>
        <rFont val="Calibri"/>
        <family val="2"/>
      </rPr>
      <t>€ / jornada</t>
    </r>
  </si>
  <si>
    <t>40.000,00 €</t>
  </si>
  <si>
    <t>C01.2</t>
  </si>
  <si>
    <t>SEGUIDORES SOLARES</t>
  </si>
  <si>
    <t>200.000 € / unidad</t>
  </si>
  <si>
    <t>14.000.000 €</t>
  </si>
  <si>
    <t>Mano de obra del montaje e instalación de los seguidores solares</t>
  </si>
  <si>
    <r>
      <t>3.000</t>
    </r>
    <r>
      <rPr>
        <sz val="11"/>
        <color rgb="FF000000"/>
        <rFont val="Calibri"/>
        <family val="2"/>
      </rPr>
      <t xml:space="preserve"> </t>
    </r>
    <r>
      <rPr>
        <sz val="8"/>
        <color rgb="FF000000"/>
        <rFont val="Calibri"/>
        <family val="2"/>
      </rPr>
      <t>€ / jornada</t>
    </r>
  </si>
  <si>
    <t>C01.3</t>
  </si>
  <si>
    <t>MÓDULO SOLAR|</t>
  </si>
  <si>
    <t>Trina Solar TSM-400-NEG9-28</t>
  </si>
  <si>
    <t>16.700.544,00 €</t>
  </si>
  <si>
    <t>Mano de obra del montaje e instalación de módulos fotovoltaicos</t>
  </si>
  <si>
    <t>90.000,00 €</t>
  </si>
  <si>
    <t>C01.4</t>
  </si>
  <si>
    <t>INVERSOR TRIFÁSICO|</t>
  </si>
  <si>
    <t>Huawei SUN 2000-125KTL-MO</t>
  </si>
  <si>
    <t>1.893,42 €</t>
  </si>
  <si>
    <t>795.236,4 €</t>
  </si>
  <si>
    <t>Mano de obra del montaje e instalación de inversores fotovoltaicos</t>
  </si>
  <si>
    <t>15.000,00 €</t>
  </si>
  <si>
    <t>C01.5</t>
  </si>
  <si>
    <t>CABLEADO CONTINUA|</t>
  </si>
  <si>
    <t>Cable Unifilar 16mm2 SOLAR PV ZZ-F</t>
  </si>
  <si>
    <r>
      <t>4,22/m</t>
    </r>
    <r>
      <rPr>
        <sz val="11"/>
        <color rgb="FF000000"/>
        <rFont val="Calibri"/>
        <family val="2"/>
      </rPr>
      <t> </t>
    </r>
  </si>
  <si>
    <t>Mano de obra de colocación cableado</t>
  </si>
  <si>
    <t>30.000,00 €</t>
  </si>
  <si>
    <t>C01.6</t>
  </si>
  <si>
    <t>Cable RZ1-K 1X120 mm2</t>
  </si>
  <si>
    <t>16,9€ /m</t>
  </si>
  <si>
    <t>C01.7</t>
  </si>
  <si>
    <t>Protecciones en DC|</t>
  </si>
  <si>
    <t>Fusible 15 A 1000 VDC 10x38 ZTPV-25 de DC Solar Energy</t>
  </si>
  <si>
    <t>4,71€ / unidad</t>
  </si>
  <si>
    <t>1.503.432,00 €</t>
  </si>
  <si>
    <t>Modelo KFD16.T204 del fabricante Kraus&amp;Naimer</t>
  </si>
  <si>
    <t>36,1€ / unidad</t>
  </si>
  <si>
    <t>3.032.400,00  €</t>
  </si>
  <si>
    <t>Descargador de sobretensiones 1000V MD BF3-40</t>
  </si>
  <si>
    <t>42,9 € / unidad</t>
  </si>
  <si>
    <t>3.603.600,00 € </t>
  </si>
  <si>
    <t>C01.8</t>
  </si>
  <si>
    <t>Protecciones en AC|</t>
  </si>
  <si>
    <t>Interruptor automático LZMC2-A300-I 111941 EATON ELECTRIC Interruptor magnetotérmico LZM, 3P, 300A</t>
  </si>
  <si>
    <t>808,81€ / unidad</t>
  </si>
  <si>
    <t>28.308,35 €</t>
  </si>
  <si>
    <t>Interruptor diferencial modelo  3VA9323-0RL30 de SIEMENS</t>
  </si>
  <si>
    <t>1.981,44€ / unidad</t>
  </si>
  <si>
    <t>69.340,4 €</t>
  </si>
  <si>
    <t>Limitador contra sobretensiones transitorias 230/400 AC de la marca Solera</t>
  </si>
  <si>
    <t>389,84€ / unidad</t>
  </si>
  <si>
    <t>13.644,4 €</t>
  </si>
  <si>
    <t>C01</t>
  </si>
  <si>
    <t>SISTEMA FOTOVOLTAICO</t>
  </si>
  <si>
    <t>TOTAL</t>
  </si>
  <si>
    <r>
      <t xml:space="preserve">65.337.121,8 </t>
    </r>
    <r>
      <rPr>
        <sz val="8"/>
        <color rgb="FF000000"/>
        <rFont val="Calibri"/>
        <family val="2"/>
      </rPr>
      <t>€</t>
    </r>
  </si>
  <si>
    <t>2.000 € / jornada</t>
  </si>
  <si>
    <t>4,22/m </t>
  </si>
  <si>
    <r>
      <t xml:space="preserve">65.337.121,8 </t>
    </r>
    <r>
      <rPr>
        <sz val="10"/>
        <color rgb="FF000000"/>
        <rFont val="Calibri"/>
        <family val="2"/>
      </rPr>
      <t>€</t>
    </r>
  </si>
  <si>
    <t xml:space="preserve">MANTENIMIENTO </t>
  </si>
  <si>
    <t>C02.1</t>
  </si>
  <si>
    <t>C02.2</t>
  </si>
  <si>
    <t>Mantenimiento compartido mensual del Biodigestor</t>
  </si>
  <si>
    <t>Mano de obra del personal requerido para cargue y descargue del material</t>
  </si>
  <si>
    <t>1000 € / mensual</t>
  </si>
  <si>
    <t>Alquiler del Biodigestor mediano (mensual)</t>
  </si>
  <si>
    <t>ALQUILER BIODIGESTOR LOCAL (500 m3 - 500 Ton)</t>
  </si>
  <si>
    <t>50 € / mensual</t>
  </si>
  <si>
    <t>50 € / jornada diaria laborada</t>
  </si>
  <si>
    <t>USO DEL BIODIGESTOR</t>
  </si>
  <si>
    <t>C02</t>
  </si>
  <si>
    <t>0.05 € / Kg</t>
  </si>
  <si>
    <t>TRANSPORTE DEL MATERIAL (Menos de 50 km)</t>
  </si>
  <si>
    <t>C03.1</t>
  </si>
  <si>
    <t>C03.2</t>
  </si>
  <si>
    <t>C03.4</t>
  </si>
  <si>
    <t>PERMISOS - LICENSIAS - DISTRIBUCIÓN A LA RED</t>
  </si>
  <si>
    <t>LICENCIAS DE CONSTRUCCIÓN</t>
  </si>
  <si>
    <t>Permisos de construcción</t>
  </si>
  <si>
    <t>PERMISOS AMBIENTALES</t>
  </si>
  <si>
    <t>Estudios de Impacto Ambiental y permisos de us de suelo</t>
  </si>
  <si>
    <t>REGULACIONES LOCALES Y NACIONALES</t>
  </si>
  <si>
    <t>Cumplir con normativas específicas incluyen tarifas administrativas</t>
  </si>
  <si>
    <t>COSTOS DE ESTUDIOS NORMATIVOS</t>
  </si>
  <si>
    <t>EVALUACIONES DE RIESGOS</t>
  </si>
  <si>
    <t>Variables de acuerdo a la profundidad del estudio</t>
  </si>
  <si>
    <t>COSTOS DE DISTRIBUCIÓN DE ENERGÍA A LA RED</t>
  </si>
  <si>
    <t>Conexión a la red</t>
  </si>
  <si>
    <t>TARIFAS DE DISTRIBUCIÓN</t>
  </si>
  <si>
    <t>Costos de medición y monitoreo</t>
  </si>
  <si>
    <t>C03.3</t>
  </si>
  <si>
    <t>C04</t>
  </si>
  <si>
    <t>0.01 € / kWh</t>
  </si>
  <si>
    <t>AÑO</t>
  </si>
  <si>
    <t>INGRESOS ANUALES</t>
  </si>
  <si>
    <t>INGRESOS</t>
  </si>
  <si>
    <t>Sistema Fotovoltaico</t>
  </si>
  <si>
    <t>Licencias, estudios previos, permisos y estudios normativos.</t>
  </si>
  <si>
    <t>EGRESOS</t>
  </si>
  <si>
    <t>FLUJOS DE CAJA</t>
  </si>
  <si>
    <t>CONCEPTO</t>
  </si>
  <si>
    <t>Opex Anual Planta Gasificadora</t>
  </si>
  <si>
    <t>Coste de Personal para viñedo, planta gasificadora e instalación fotovoltaica</t>
  </si>
  <si>
    <t>ITEM</t>
  </si>
  <si>
    <t>Mantenimiento del Viñedo</t>
  </si>
  <si>
    <t>Transporte de Biomasa</t>
  </si>
  <si>
    <t>EGRESOS ANUALES</t>
  </si>
  <si>
    <t>Total Egresos Anuales</t>
  </si>
  <si>
    <t>Ahorros en Riego</t>
  </si>
  <si>
    <t>Ahorro en Combustible</t>
  </si>
  <si>
    <t>Ahorro en Agua</t>
  </si>
  <si>
    <t>Ingresos del Viñedo</t>
  </si>
  <si>
    <t>Venta de Energía - Contrato PPA</t>
  </si>
  <si>
    <t>Venta de Energía - Mercado Eléctrico</t>
  </si>
  <si>
    <t>Total Ingresos Anuales</t>
  </si>
  <si>
    <t>-</t>
  </si>
  <si>
    <t>TIR</t>
  </si>
  <si>
    <t>VAN</t>
  </si>
  <si>
    <t>Costes del proyecto para planta de Gasificación</t>
  </si>
  <si>
    <t>Estudio de Recursos y Disponibilidad de Biomasa</t>
  </si>
  <si>
    <t>Estduio Tecnológico de Gasificación</t>
  </si>
  <si>
    <t>Ingeniería Básica</t>
  </si>
  <si>
    <t>Estudio de Impacto Ambiental</t>
  </si>
  <si>
    <t>Estudio Económico-Financiero</t>
  </si>
  <si>
    <t>Permisos y Tramitaciones Legales</t>
  </si>
  <si>
    <t>7,35K</t>
  </si>
  <si>
    <t>6,12K</t>
  </si>
  <si>
    <t>12,35K</t>
  </si>
  <si>
    <t>8,28K</t>
  </si>
  <si>
    <t>7,63K</t>
  </si>
  <si>
    <t>4,78K</t>
  </si>
  <si>
    <t>Miles (K) / Millones (M) - €</t>
  </si>
  <si>
    <t>Adquisión de Terreno y Obra Civil</t>
  </si>
  <si>
    <t>Adquisición de Terreno</t>
  </si>
  <si>
    <t>Obra Civil y Construcción</t>
  </si>
  <si>
    <t>39,78K</t>
  </si>
  <si>
    <t>72,54</t>
  </si>
  <si>
    <t>112,32K €</t>
  </si>
  <si>
    <t>Equipo y Maquinaria</t>
  </si>
  <si>
    <t>Gasificador</t>
  </si>
  <si>
    <t>Sistema de Alimentación de Biomasa</t>
  </si>
  <si>
    <t>Generador Eléctrico</t>
  </si>
  <si>
    <t>Sistemas de Purificación de Syngas</t>
  </si>
  <si>
    <t>Sistemas de Control y Monitorización</t>
  </si>
  <si>
    <t>Almacenamiento y Manipulñación de Biomasa</t>
  </si>
  <si>
    <t>Sistema de Gestión de Residuos</t>
  </si>
  <si>
    <t>Sistema de Conexión a la Red Eléctrica</t>
  </si>
  <si>
    <t>108 € / cadena</t>
  </si>
  <si>
    <t>9.072.000,00 €</t>
  </si>
  <si>
    <t>SEGUIDORES SOLARES|</t>
  </si>
  <si>
    <t>10.000 € / unidad</t>
  </si>
  <si>
    <t>8.400.000,00 €</t>
  </si>
  <si>
    <t>45.000,00 €</t>
  </si>
  <si>
    <t>2,67 € /m </t>
  </si>
  <si>
    <t>1.848.000 </t>
  </si>
  <si>
    <t>4.934.160,00 €</t>
  </si>
  <si>
    <t>CABLEADO ALTERNA|</t>
  </si>
  <si>
    <t>22,6 € /m</t>
  </si>
  <si>
    <t>840.000 </t>
  </si>
  <si>
    <t>7.593.600,00 €</t>
  </si>
  <si>
    <t>ECOREVI RZ1-K Sección 300m2 </t>
  </si>
  <si>
    <r>
      <t xml:space="preserve">56.116.265,55 </t>
    </r>
    <r>
      <rPr>
        <sz val="10"/>
        <color rgb="FF000000"/>
        <rFont val="Calibri"/>
        <family val="2"/>
      </rPr>
      <t>€</t>
    </r>
  </si>
  <si>
    <t>81,75K</t>
  </si>
  <si>
    <t>35,84K</t>
  </si>
  <si>
    <t>15,13K</t>
  </si>
  <si>
    <t>24,95K</t>
  </si>
  <si>
    <t>15,42K</t>
  </si>
  <si>
    <t>10,35</t>
  </si>
  <si>
    <t>18,25</t>
  </si>
  <si>
    <t>18,27K</t>
  </si>
  <si>
    <t>Instalación de Equipos</t>
  </si>
  <si>
    <t>Pruebas y Puesta en Marcha</t>
  </si>
  <si>
    <t>27,95K</t>
  </si>
  <si>
    <t>15,75K</t>
  </si>
  <si>
    <t>Costes Operativos</t>
  </si>
  <si>
    <t>8,17k</t>
  </si>
  <si>
    <t>Coste de Operación y Mantenimiento (O&amp;M)</t>
  </si>
  <si>
    <t>Costes de Gestión de Biomasa</t>
  </si>
  <si>
    <t>43,7K €</t>
  </si>
  <si>
    <t>27,57k</t>
  </si>
  <si>
    <t>35,74K €</t>
  </si>
  <si>
    <t>Opex Anual (Costes Operativos)</t>
  </si>
  <si>
    <t>Total CAPEX (Coste Inicial del Proyecto)</t>
  </si>
  <si>
    <t>46,51K €</t>
  </si>
  <si>
    <t>422,49K €</t>
  </si>
  <si>
    <t>Descripción</t>
  </si>
  <si>
    <t>Precio unitario</t>
  </si>
  <si>
    <t xml:space="preserve">Cantidad </t>
  </si>
  <si>
    <t>Importe</t>
  </si>
  <si>
    <t>Seguidores solares</t>
  </si>
  <si>
    <t xml:space="preserve">Mano de obra del montaje e instalación de los seguidores solares </t>
  </si>
  <si>
    <t xml:space="preserve">Módulo solar </t>
  </si>
  <si>
    <t>Modulo solar / Trina Solar TSM-400-NEG9-28</t>
  </si>
  <si>
    <t>Mano de obra  del montaje e instalación de módulos fotovoltaicos</t>
  </si>
  <si>
    <t>Inversor trifásico</t>
  </si>
  <si>
    <t>Inversor trifásico / Huawei SUN 2000-125KTL-MO</t>
  </si>
  <si>
    <t xml:space="preserve">Cableado continua </t>
  </si>
  <si>
    <t>Cableado continua / Cable Unifilar 16mm2 SOLAR PV ZZ-F</t>
  </si>
  <si>
    <t>2,67 € /m</t>
  </si>
  <si>
    <t>1.848.000</t>
  </si>
  <si>
    <t xml:space="preserve">Cable alterna </t>
  </si>
  <si>
    <t xml:space="preserve">Cable alterna / ECOREVI RZ1-K Sección 300m2 </t>
  </si>
  <si>
    <t>Protecciones en DC</t>
  </si>
  <si>
    <t>Interruptor diferencial modelo  3VA9323-0RL30 de SIEMENS</t>
  </si>
  <si>
    <t>Coste total del sistema fotovoltaico</t>
  </si>
  <si>
    <t>9,072M</t>
  </si>
  <si>
    <t>135K</t>
  </si>
  <si>
    <t>40K</t>
  </si>
  <si>
    <t>9,247M €</t>
  </si>
  <si>
    <t>8,4M</t>
  </si>
  <si>
    <t>45K</t>
  </si>
  <si>
    <t>8,445M €</t>
  </si>
  <si>
    <t>16,7M</t>
  </si>
  <si>
    <t>90K</t>
  </si>
  <si>
    <t>16,79M €</t>
  </si>
  <si>
    <t>15K</t>
  </si>
  <si>
    <t>4,94M</t>
  </si>
  <si>
    <t>30K</t>
  </si>
  <si>
    <t>7,6M</t>
  </si>
  <si>
    <t>Protecciones en DC Fusible 15 A 1000 VDC 10x38 ZTPV-25 de DC Solar Energy</t>
  </si>
  <si>
    <t>3,032M</t>
  </si>
  <si>
    <t>3,604M</t>
  </si>
  <si>
    <t>4,97M €</t>
  </si>
  <si>
    <t>7,61M €</t>
  </si>
  <si>
    <t>69K</t>
  </si>
  <si>
    <t>13,5K</t>
  </si>
  <si>
    <t>28K</t>
  </si>
  <si>
    <t>13K</t>
  </si>
  <si>
    <t>795K</t>
  </si>
  <si>
    <t>1,50 M</t>
  </si>
  <si>
    <t>810K €</t>
  </si>
  <si>
    <t>8,136M €</t>
  </si>
  <si>
    <t>110K €</t>
  </si>
  <si>
    <t>56,118M</t>
  </si>
  <si>
    <t>SALARIO</t>
  </si>
  <si>
    <t>SEGURIDAD SOCIAL</t>
  </si>
  <si>
    <t>COSTE/UNIDAD</t>
  </si>
  <si>
    <r>
      <t>Op</t>
    </r>
    <r>
      <rPr>
        <sz val="10"/>
        <color rgb="FF000000"/>
        <rFont val="Calibri"/>
        <family val="2"/>
      </rPr>
      <t>eradores de Maquinaria Agrícola</t>
    </r>
  </si>
  <si>
    <t>27.500 € </t>
  </si>
  <si>
    <t>8.250 € </t>
  </si>
  <si>
    <t>35.750  € </t>
  </si>
  <si>
    <t>Técnicos de mantenimiento</t>
  </si>
  <si>
    <t>31.500 € </t>
  </si>
  <si>
    <t>40.950  € </t>
  </si>
  <si>
    <t>Supervisor de planta</t>
  </si>
  <si>
    <t>45.000 € </t>
  </si>
  <si>
    <t>13.500  €</t>
  </si>
  <si>
    <t>Supervisor de viñedo</t>
  </si>
  <si>
    <t>40.000 € </t>
  </si>
  <si>
    <t>12.000  €</t>
  </si>
  <si>
    <t>Absentismo+Vacaciones</t>
  </si>
  <si>
    <t>Operadores de Maquinaria Agrícola</t>
  </si>
  <si>
    <t>Absentismo + Vacaciones</t>
  </si>
  <si>
    <t>Cantidad</t>
  </si>
  <si>
    <t>Salario</t>
  </si>
  <si>
    <t>Seguridad Social</t>
  </si>
  <si>
    <t>9,45k</t>
  </si>
  <si>
    <t>58,5K €</t>
  </si>
  <si>
    <t>8,25K</t>
  </si>
  <si>
    <t>27,5K</t>
  </si>
  <si>
    <t>31,5K</t>
  </si>
  <si>
    <t>12K</t>
  </si>
  <si>
    <t>52K</t>
  </si>
  <si>
    <t>52K €</t>
  </si>
  <si>
    <t>107,25K</t>
  </si>
  <si>
    <t>107,25K €</t>
  </si>
  <si>
    <t>122,85K</t>
  </si>
  <si>
    <t>122,85K €</t>
  </si>
  <si>
    <t>391,69K €</t>
  </si>
  <si>
    <t>51,09K</t>
  </si>
  <si>
    <t xml:space="preserve">Mantenimiento de las instalaciones </t>
  </si>
  <si>
    <t>51,09K €</t>
  </si>
  <si>
    <t>46,37K</t>
  </si>
  <si>
    <t>46,37K €</t>
  </si>
  <si>
    <t>Costo asociado al Mantenimiento de las Instalaciones (4% del presupuesto ejecución)</t>
  </si>
  <si>
    <t>219,96K €</t>
  </si>
  <si>
    <t>438,06K €</t>
  </si>
  <si>
    <t>Opex Anual de Transporte de Biomasa y Planta Gasificadora</t>
  </si>
  <si>
    <t>Trasnporte de Biomasa a Planta Gasificadora</t>
  </si>
  <si>
    <t>Transporte de Residuos de Poda 
0.05 € /Kg</t>
  </si>
  <si>
    <t>13,297K</t>
  </si>
  <si>
    <t>Opex Anual de Planta Gasificadora</t>
  </si>
  <si>
    <t>Costes Operativos de la planta gasificadora en el transcurso del año</t>
  </si>
  <si>
    <t>35,74K</t>
  </si>
  <si>
    <t>Opex Anual</t>
  </si>
  <si>
    <t>49,04K €</t>
  </si>
  <si>
    <t>Ahorro en Riego</t>
  </si>
  <si>
    <t>10,76K</t>
  </si>
  <si>
    <t>1,96K</t>
  </si>
  <si>
    <t>411,3K</t>
  </si>
  <si>
    <t>1,525M</t>
  </si>
  <si>
    <t>4,955M</t>
  </si>
  <si>
    <t>Ingresos Totales Anuales</t>
  </si>
  <si>
    <t>6,904M</t>
  </si>
  <si>
    <t>Ingresos y Ahorros Anuales del Proyecto</t>
  </si>
  <si>
    <t>Flujo de Caja Neto</t>
  </si>
  <si>
    <t>AÑO 1</t>
  </si>
  <si>
    <t>AÑO 2</t>
  </si>
  <si>
    <t>AÑO 3</t>
  </si>
  <si>
    <t>AÑO 4</t>
  </si>
  <si>
    <t>AÑO 5</t>
  </si>
  <si>
    <t>Venta de Energía - PPA</t>
  </si>
  <si>
    <t>Venta de Energía - M.E.</t>
  </si>
  <si>
    <t>Ingresos de Efectivo €</t>
  </si>
  <si>
    <t>Egresos de Efectivo €</t>
  </si>
  <si>
    <t>Costos asociados al Viñedo</t>
  </si>
  <si>
    <t>438,06K</t>
  </si>
  <si>
    <t>13,3K</t>
  </si>
  <si>
    <t>Total Ingresos</t>
  </si>
  <si>
    <t>Total Egresos</t>
  </si>
  <si>
    <t>AÑO 6</t>
  </si>
  <si>
    <t>AÑO 7</t>
  </si>
  <si>
    <t>AÑO 8</t>
  </si>
  <si>
    <t>AÑO 9</t>
  </si>
  <si>
    <t>AÑO 10</t>
  </si>
  <si>
    <t>20,68M</t>
  </si>
  <si>
    <t>Inversión Inicial (€)</t>
  </si>
  <si>
    <t>Planta de Gasificación</t>
  </si>
  <si>
    <t>3,75K</t>
  </si>
  <si>
    <t>422,49K</t>
  </si>
  <si>
    <t>INGRESOS - EGRESOS
(Millones de Euros)</t>
  </si>
  <si>
    <t>FLUJO DESCONTADO
(Millones de Euros)</t>
  </si>
  <si>
    <t>DESEMBOLSO INICIAL 
(Millones de Euros)</t>
  </si>
  <si>
    <t>TASA DE DESCUENTO DEL 10%</t>
  </si>
  <si>
    <t>Estructura de Soporte</t>
  </si>
  <si>
    <t>Costes del proyecto para planta Fotovoltaica</t>
  </si>
  <si>
    <t>Costes asociados al Personal requerido</t>
  </si>
  <si>
    <t>Costo Total Anual asociado Personal + Mantenimiento de Viñedo</t>
  </si>
  <si>
    <t>9,04 € /m</t>
  </si>
  <si>
    <t>Seguro</t>
  </si>
  <si>
    <t>Seguro 10K €/MW*año</t>
  </si>
  <si>
    <t>Costes Anuales Operativos de la planta Fotovoltaica</t>
  </si>
  <si>
    <t>630K</t>
  </si>
  <si>
    <t>Importe
Miles (K) / Millones (M) - €</t>
  </si>
  <si>
    <t>Mantenimiento Preventivo</t>
  </si>
  <si>
    <t>10K por inspección, se realizarán (4) inspecciones anuales</t>
  </si>
  <si>
    <t>Reemplazo de Componentes</t>
  </si>
  <si>
    <t>0,1% de la instalación total</t>
  </si>
  <si>
    <t>63K</t>
  </si>
  <si>
    <t>Coste total Operativo del sistema fotovoltaico</t>
  </si>
  <si>
    <t>733K</t>
  </si>
  <si>
    <t>Opex Planta gasificadora</t>
  </si>
  <si>
    <t>Opex Planta fotovoltaica</t>
  </si>
  <si>
    <t>1,22M</t>
  </si>
  <si>
    <t>5,684M</t>
  </si>
  <si>
    <t>3,24M</t>
  </si>
  <si>
    <t>Costo anual de Personal requerido</t>
  </si>
  <si>
    <t>Año</t>
  </si>
  <si>
    <t>Producción (%)</t>
  </si>
  <si>
    <t>Producción Total (kg)</t>
  </si>
  <si>
    <t>Precio (€/kg)</t>
  </si>
  <si>
    <t>0-2</t>
  </si>
  <si>
    <t>0,00</t>
  </si>
  <si>
    <t>0,376</t>
  </si>
  <si>
    <t>437.544,80</t>
  </si>
  <si>
    <t>875.089,60</t>
  </si>
  <si>
    <t>1.093.862,00</t>
  </si>
  <si>
    <t>Total por año 
Miles (K) / Millones (M) - €</t>
  </si>
  <si>
    <t>5-20</t>
  </si>
  <si>
    <t>329,1K</t>
  </si>
  <si>
    <t>411,29K</t>
  </si>
  <si>
    <t>164,52K</t>
  </si>
  <si>
    <t>11,84K</t>
  </si>
  <si>
    <t>13,02K</t>
  </si>
  <si>
    <t>14,32K</t>
  </si>
  <si>
    <t>65,69K</t>
  </si>
  <si>
    <t>17,32K</t>
  </si>
  <si>
    <t>19,05K</t>
  </si>
  <si>
    <t>20,95K</t>
  </si>
  <si>
    <t>23,04K</t>
  </si>
  <si>
    <t>25,34K</t>
  </si>
  <si>
    <t>105,7K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</si>
  <si>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</si>
  <si>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</si>
  <si>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</si>
  <si>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</si>
  <si>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</si>
  <si>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</si>
  <si>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</si>
  <si>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</si>
  <si>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</si>
  <si>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</si>
  <si>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AÑO 21</t>
  </si>
  <si>
    <t>AÑO 22</t>
  </si>
  <si>
    <t>AÑO 23</t>
  </si>
  <si>
    <t>AÑO 24</t>
  </si>
  <si>
    <t>AÑO 25</t>
  </si>
  <si>
    <t>2,16K</t>
  </si>
  <si>
    <t>2,38K</t>
  </si>
  <si>
    <t>2,62K</t>
  </si>
  <si>
    <t>2,88K</t>
  </si>
  <si>
    <t>452,43K</t>
  </si>
  <si>
    <t>497,7K</t>
  </si>
  <si>
    <t>547,47K</t>
  </si>
  <si>
    <t>602,22K</t>
  </si>
  <si>
    <t>2,511M</t>
  </si>
  <si>
    <t>1,677M</t>
  </si>
  <si>
    <t>1,845M</t>
  </si>
  <si>
    <t>2,029M</t>
  </si>
  <si>
    <t>2,232M</t>
  </si>
  <si>
    <t>9,308M</t>
  </si>
  <si>
    <t>5,45M</t>
  </si>
  <si>
    <t>5,995M</t>
  </si>
  <si>
    <t>6,594M</t>
  </si>
  <si>
    <t>7,253M</t>
  </si>
  <si>
    <t>30,247M</t>
  </si>
  <si>
    <t>7,59M</t>
  </si>
  <si>
    <t>8,35M</t>
  </si>
  <si>
    <t>9,18M</t>
  </si>
  <si>
    <t>10,1M</t>
  </si>
  <si>
    <t>42,13M</t>
  </si>
  <si>
    <t>806,3K</t>
  </si>
  <si>
    <t>886,93K</t>
  </si>
  <si>
    <t>1,073M</t>
  </si>
  <si>
    <t>481,86K</t>
  </si>
  <si>
    <t>530,05K</t>
  </si>
  <si>
    <t>583,05K</t>
  </si>
  <si>
    <t>641,35K</t>
  </si>
  <si>
    <t>2,674M</t>
  </si>
  <si>
    <t>975,62K</t>
  </si>
  <si>
    <t>4,475M</t>
  </si>
  <si>
    <t>14,63K</t>
  </si>
  <si>
    <t>16,09</t>
  </si>
  <si>
    <t>17,7K</t>
  </si>
  <si>
    <t>19,47K</t>
  </si>
  <si>
    <t>81,19K</t>
  </si>
  <si>
    <t>39,31K</t>
  </si>
  <si>
    <t>43,24K</t>
  </si>
  <si>
    <t>47,56K</t>
  </si>
  <si>
    <t>52,32K</t>
  </si>
  <si>
    <t>218,17K</t>
  </si>
  <si>
    <t>1,342M</t>
  </si>
  <si>
    <t>1,476M</t>
  </si>
  <si>
    <t>1,623M</t>
  </si>
  <si>
    <t>1,785M</t>
  </si>
  <si>
    <t>7,447M</t>
  </si>
  <si>
    <t>6,248M</t>
  </si>
  <si>
    <t>6,874M</t>
  </si>
  <si>
    <t>7,557M</t>
  </si>
  <si>
    <t>8,315M</t>
  </si>
  <si>
    <t>34,678M</t>
  </si>
  <si>
    <t>3,168K</t>
  </si>
  <si>
    <t>662,44K</t>
  </si>
  <si>
    <t>2,455M</t>
  </si>
  <si>
    <t>7,978M</t>
  </si>
  <si>
    <t>11,11M</t>
  </si>
  <si>
    <t>3,485K</t>
  </si>
  <si>
    <t>3,833K</t>
  </si>
  <si>
    <t>4,216K</t>
  </si>
  <si>
    <t>4,638K</t>
  </si>
  <si>
    <t>19,34K</t>
  </si>
  <si>
    <t>728,68K</t>
  </si>
  <si>
    <t>801,55K</t>
  </si>
  <si>
    <t>881,70K</t>
  </si>
  <si>
    <t>969,87K</t>
  </si>
  <si>
    <t>4,044M</t>
  </si>
  <si>
    <t>2,70M</t>
  </si>
  <si>
    <t>2,97M</t>
  </si>
  <si>
    <t>3,267M</t>
  </si>
  <si>
    <t>3,594M</t>
  </si>
  <si>
    <t>14,986M</t>
  </si>
  <si>
    <t>8,776M</t>
  </si>
  <si>
    <t>9,654M</t>
  </si>
  <si>
    <t>10,62M</t>
  </si>
  <si>
    <t>11,68M</t>
  </si>
  <si>
    <t>48,71M</t>
  </si>
  <si>
    <t>12,23M</t>
  </si>
  <si>
    <t>13,45M</t>
  </si>
  <si>
    <t>14,79M</t>
  </si>
  <si>
    <t>16,27M</t>
  </si>
  <si>
    <t>67,85M</t>
  </si>
  <si>
    <t>1,180M</t>
  </si>
  <si>
    <t>705,48K</t>
  </si>
  <si>
    <t>21,417K</t>
  </si>
  <si>
    <t>57,552K</t>
  </si>
  <si>
    <t>1,964M</t>
  </si>
  <si>
    <t>1,298M</t>
  </si>
  <si>
    <t>1,428M</t>
  </si>
  <si>
    <t>1,571M</t>
  </si>
  <si>
    <t>1,728M</t>
  </si>
  <si>
    <t>7,205M</t>
  </si>
  <si>
    <t>776,03K</t>
  </si>
  <si>
    <t>853,63K</t>
  </si>
  <si>
    <t>938,99K</t>
  </si>
  <si>
    <t>1,033M</t>
  </si>
  <si>
    <t>4,307M</t>
  </si>
  <si>
    <t>23,56K</t>
  </si>
  <si>
    <t>25,916K</t>
  </si>
  <si>
    <t>28,51K</t>
  </si>
  <si>
    <t>31,36K</t>
  </si>
  <si>
    <t>130,76K</t>
  </si>
  <si>
    <t>63,30K</t>
  </si>
  <si>
    <t>69,63K</t>
  </si>
  <si>
    <t>76,59K</t>
  </si>
  <si>
    <t>84,25K</t>
  </si>
  <si>
    <t>351,32K</t>
  </si>
  <si>
    <t>11,99M</t>
  </si>
  <si>
    <t>2,16M</t>
  </si>
  <si>
    <t>2,377M</t>
  </si>
  <si>
    <t>2,615M</t>
  </si>
  <si>
    <t>2,877M</t>
  </si>
  <si>
    <t>10,07M</t>
  </si>
  <si>
    <t>56,82M €</t>
  </si>
  <si>
    <t>27,87K</t>
  </si>
  <si>
    <t>30,66K</t>
  </si>
  <si>
    <t>33,73K</t>
  </si>
  <si>
    <t>37,10K</t>
  </si>
  <si>
    <t>40,81K</t>
  </si>
  <si>
    <t>170,17K</t>
  </si>
  <si>
    <t>5,10K</t>
  </si>
  <si>
    <t>1,067M</t>
  </si>
  <si>
    <t>3,953M</t>
  </si>
  <si>
    <t>12,848M</t>
  </si>
  <si>
    <t>1,90M</t>
  </si>
  <si>
    <t>1,136M</t>
  </si>
  <si>
    <t>34,5K</t>
  </si>
  <si>
    <t>92,67K</t>
  </si>
  <si>
    <t>5,61K</t>
  </si>
  <si>
    <t>6,17K</t>
  </si>
  <si>
    <t>6,79K</t>
  </si>
  <si>
    <t>7,47K</t>
  </si>
  <si>
    <t>31,14K</t>
  </si>
  <si>
    <t>1,17M</t>
  </si>
  <si>
    <t>1,287M</t>
  </si>
  <si>
    <t>1,416M</t>
  </si>
  <si>
    <t>1,558M</t>
  </si>
  <si>
    <t>6,498M</t>
  </si>
  <si>
    <t>4,348M</t>
  </si>
  <si>
    <t>4,783M</t>
  </si>
  <si>
    <t>5,261M</t>
  </si>
  <si>
    <t>5,787M</t>
  </si>
  <si>
    <t>24,13M</t>
  </si>
  <si>
    <t>14,13M</t>
  </si>
  <si>
    <t>15,54M</t>
  </si>
  <si>
    <t>17,094M</t>
  </si>
  <si>
    <t>18,80M</t>
  </si>
  <si>
    <t>78,41M</t>
  </si>
  <si>
    <t>17,9M</t>
  </si>
  <si>
    <t>19,684M</t>
  </si>
  <si>
    <t>21,65M</t>
  </si>
  <si>
    <t>23,815M</t>
  </si>
  <si>
    <t>26,19M</t>
  </si>
  <si>
    <t>2,09M</t>
  </si>
  <si>
    <t>2,30M</t>
  </si>
  <si>
    <t>2,53M</t>
  </si>
  <si>
    <t>2,783M</t>
  </si>
  <si>
    <t>11,603M</t>
  </si>
  <si>
    <t>1,25M</t>
  </si>
  <si>
    <t>1,375M</t>
  </si>
  <si>
    <t>1,512M</t>
  </si>
  <si>
    <t>1,663M</t>
  </si>
  <si>
    <t>6,936M</t>
  </si>
  <si>
    <t>41,74K</t>
  </si>
  <si>
    <t>37,95K</t>
  </si>
  <si>
    <t>45,91K</t>
  </si>
  <si>
    <t>50,50K</t>
  </si>
  <si>
    <t>210,6K</t>
  </si>
  <si>
    <t>101,94K</t>
  </si>
  <si>
    <t>112,13K</t>
  </si>
  <si>
    <t>123,34K</t>
  </si>
  <si>
    <t>135,67K</t>
  </si>
  <si>
    <t>565,75K</t>
  </si>
  <si>
    <t>3,163M</t>
  </si>
  <si>
    <t>3,48M</t>
  </si>
  <si>
    <t>3,829M</t>
  </si>
  <si>
    <t>4,211M</t>
  </si>
  <si>
    <t>4,632M</t>
  </si>
  <si>
    <t>14,74M</t>
  </si>
  <si>
    <t>9,15M</t>
  </si>
  <si>
    <t>11,08M</t>
  </si>
  <si>
    <t>12,18M</t>
  </si>
  <si>
    <t>13,40M</t>
  </si>
  <si>
    <t>55,88M</t>
  </si>
  <si>
    <t>16,22M</t>
  </si>
  <si>
    <t>17,84M</t>
  </si>
  <si>
    <t>19,62M</t>
  </si>
  <si>
    <t>21,58M</t>
  </si>
  <si>
    <t>90,00M</t>
  </si>
  <si>
    <t>19,315M</t>
  </si>
  <si>
    <t>109,3M</t>
  </si>
  <si>
    <t>44,89K</t>
  </si>
  <si>
    <t>8,217K</t>
  </si>
  <si>
    <t>1,714M</t>
  </si>
  <si>
    <t>6,365M</t>
  </si>
  <si>
    <t>3,061M</t>
  </si>
  <si>
    <t>1,829M</t>
  </si>
  <si>
    <t>55,55K</t>
  </si>
  <si>
    <t>149,24K</t>
  </si>
  <si>
    <t>49,38K</t>
  </si>
  <si>
    <t>54,32K</t>
  </si>
  <si>
    <t>59,75K</t>
  </si>
  <si>
    <t>65,72K</t>
  </si>
  <si>
    <t>274,06K</t>
  </si>
  <si>
    <t>9,039K</t>
  </si>
  <si>
    <t>9,943K</t>
  </si>
  <si>
    <t>10,937K</t>
  </si>
  <si>
    <t>12,030K</t>
  </si>
  <si>
    <t>50,17K</t>
  </si>
  <si>
    <t>1,88M</t>
  </si>
  <si>
    <t>2,073M</t>
  </si>
  <si>
    <t>2,280M</t>
  </si>
  <si>
    <t>2,508M</t>
  </si>
  <si>
    <t>10,455M</t>
  </si>
  <si>
    <t>7,00M</t>
  </si>
  <si>
    <t>7,7M</t>
  </si>
  <si>
    <t>8,47M</t>
  </si>
  <si>
    <t>9,32M</t>
  </si>
  <si>
    <t>10,25M</t>
  </si>
  <si>
    <t>38,85M</t>
  </si>
  <si>
    <t>22,75M</t>
  </si>
  <si>
    <t>25,02M</t>
  </si>
  <si>
    <t>27,52M</t>
  </si>
  <si>
    <t>30,27M</t>
  </si>
  <si>
    <t>126,24M</t>
  </si>
  <si>
    <t>28,812M</t>
  </si>
  <si>
    <t>31,69M</t>
  </si>
  <si>
    <t>34,86M</t>
  </si>
  <si>
    <t>38,34M</t>
  </si>
  <si>
    <t>42,18M</t>
  </si>
  <si>
    <t>3,367M</t>
  </si>
  <si>
    <t>3,704M</t>
  </si>
  <si>
    <t>4,074M</t>
  </si>
  <si>
    <t>4,481M</t>
  </si>
  <si>
    <t>18,687M</t>
  </si>
  <si>
    <t>2,012M</t>
  </si>
  <si>
    <t>2,213M</t>
  </si>
  <si>
    <t>2,434M</t>
  </si>
  <si>
    <t>2,677M</t>
  </si>
  <si>
    <t>11,165M</t>
  </si>
  <si>
    <t>67,21K</t>
  </si>
  <si>
    <t>61,10K</t>
  </si>
  <si>
    <t>73,93K</t>
  </si>
  <si>
    <t>81,32K</t>
  </si>
  <si>
    <t>339,11K</t>
  </si>
  <si>
    <t>164,16K</t>
  </si>
  <si>
    <t>180,58K</t>
  </si>
  <si>
    <t>198,64K</t>
  </si>
  <si>
    <t>218,5K</t>
  </si>
  <si>
    <t>911,12K</t>
  </si>
  <si>
    <t>5,095M</t>
  </si>
  <si>
    <t>5,604M</t>
  </si>
  <si>
    <t>6,165M</t>
  </si>
  <si>
    <t>6,780M</t>
  </si>
  <si>
    <t>7,458M</t>
  </si>
  <si>
    <t>175,88M</t>
  </si>
  <si>
    <t>23,74M</t>
  </si>
  <si>
    <t>26,12M</t>
  </si>
  <si>
    <t>28,73M</t>
  </si>
  <si>
    <t>31,6M</t>
  </si>
  <si>
    <t>34,76M</t>
  </si>
  <si>
    <t>144,95M</t>
  </si>
  <si>
    <t>30,93M</t>
  </si>
  <si>
    <t>72,29K</t>
  </si>
  <si>
    <t>13,23K</t>
  </si>
  <si>
    <t>2,759M</t>
  </si>
  <si>
    <t>33,3M</t>
  </si>
  <si>
    <t>4,929M</t>
  </si>
  <si>
    <t>2,945M</t>
  </si>
  <si>
    <t>89,45K</t>
  </si>
  <si>
    <t>240,35K</t>
  </si>
  <si>
    <t>79,52K</t>
  </si>
  <si>
    <t>87,47K</t>
  </si>
  <si>
    <t>96,22K</t>
  </si>
  <si>
    <t>105,84K</t>
  </si>
  <si>
    <t>441,34K</t>
  </si>
  <si>
    <t>14,55K</t>
  </si>
  <si>
    <t>16K</t>
  </si>
  <si>
    <t>17,6K</t>
  </si>
  <si>
    <t>19,36K</t>
  </si>
  <si>
    <t>80,74K</t>
  </si>
  <si>
    <t>3,035M</t>
  </si>
  <si>
    <t>3,34M</t>
  </si>
  <si>
    <t>3,674M</t>
  </si>
  <si>
    <t>4,041M</t>
  </si>
  <si>
    <t>16,849M</t>
  </si>
  <si>
    <t>11,27M</t>
  </si>
  <si>
    <t>12,397M</t>
  </si>
  <si>
    <t>13,637M</t>
  </si>
  <si>
    <t>15M</t>
  </si>
  <si>
    <t>62,55M</t>
  </si>
  <si>
    <t>36,63M</t>
  </si>
  <si>
    <t>40,29M</t>
  </si>
  <si>
    <t>44,32M</t>
  </si>
  <si>
    <t>48,75M</t>
  </si>
  <si>
    <t>203,29M</t>
  </si>
  <si>
    <t>51,03M</t>
  </si>
  <si>
    <t>5,422M</t>
  </si>
  <si>
    <t>5,964M</t>
  </si>
  <si>
    <t>6,56M</t>
  </si>
  <si>
    <t>7,216M</t>
  </si>
  <si>
    <t>30,09M</t>
  </si>
  <si>
    <t>3,56M</t>
  </si>
  <si>
    <t>3,916M</t>
  </si>
  <si>
    <t>17,968M</t>
  </si>
  <si>
    <t>98,39K</t>
  </si>
  <si>
    <t>108,23K</t>
  </si>
  <si>
    <t>119,05K</t>
  </si>
  <si>
    <t>130,955K</t>
  </si>
  <si>
    <t>546,07K</t>
  </si>
  <si>
    <t>264,38K</t>
  </si>
  <si>
    <t>290,82K</t>
  </si>
  <si>
    <t>319,9K</t>
  </si>
  <si>
    <t>351,89K</t>
  </si>
  <si>
    <t>1,467M</t>
  </si>
  <si>
    <t>9,023M</t>
  </si>
  <si>
    <t>12M</t>
  </si>
  <si>
    <t>50,07M</t>
  </si>
  <si>
    <t>38,24M</t>
  </si>
  <si>
    <t>46,44M</t>
  </si>
  <si>
    <t>8,2M</t>
  </si>
  <si>
    <t>42,06M</t>
  </si>
  <si>
    <t>46,27M</t>
  </si>
  <si>
    <t>50,90M</t>
  </si>
  <si>
    <t>55,99M</t>
  </si>
  <si>
    <t>233,46M</t>
  </si>
  <si>
    <t>9,92M</t>
  </si>
  <si>
    <t>56,19M</t>
  </si>
  <si>
    <t>10,92M</t>
  </si>
  <si>
    <t>61,80M</t>
  </si>
  <si>
    <t>67,99M</t>
  </si>
  <si>
    <t>283,53M</t>
  </si>
  <si>
    <t>Maquinaria Eléctrica</t>
  </si>
  <si>
    <t>275K</t>
  </si>
  <si>
    <t>5.68 / ((1+0.09)^1)</t>
  </si>
  <si>
    <t>6.25 / ((1+0.09)^2)</t>
  </si>
  <si>
    <t>6.88 / ((1+0.09)^3)</t>
  </si>
  <si>
    <t>7.57 / ((1+0.09)^4)</t>
  </si>
  <si>
    <t>8.32 / ((1+0.09)^5)</t>
  </si>
  <si>
    <t>9.15 / ((1+0.09)^6)</t>
  </si>
  <si>
    <t>10.07 / ((1+0.09)^7)</t>
  </si>
  <si>
    <t>11.08 / ((1+0.09)^8)</t>
  </si>
  <si>
    <t>12.18 / ((1+0.09)^9)</t>
  </si>
  <si>
    <t>13.40 / ((1+0.09)^10)</t>
  </si>
  <si>
    <t>% TASA DE DESCUENTO</t>
  </si>
  <si>
    <t>14.74 / ((1+0.09)^11)</t>
  </si>
  <si>
    <t>16.22 / ((1+0.09)^12)</t>
  </si>
  <si>
    <t>17.84 / ((1+0.09)^13)</t>
  </si>
  <si>
    <t>19.62 / ((1+0.09)^14)</t>
  </si>
  <si>
    <t>21.58 / ((1+0.09)^15)</t>
  </si>
  <si>
    <t>23.74/ ((1+0.09)^16)</t>
  </si>
  <si>
    <t>26.12 / ((1+0.09)^17)</t>
  </si>
  <si>
    <t>28.73 / ((1+0.09)^18)</t>
  </si>
  <si>
    <t>31.60 / ((1+0.09)^19)</t>
  </si>
  <si>
    <t>34.76 / ((1+0.09)^20)</t>
  </si>
  <si>
    <t>38.24 / ((1+0.09)^21)</t>
  </si>
  <si>
    <t>42.06 / ((1+0.09)^22)</t>
  </si>
  <si>
    <t>46.27 / ((1+0.09)^23)</t>
  </si>
  <si>
    <t>50.90 / ((1+0.09)^24)</t>
  </si>
  <si>
    <t>55.99 / ((1+0.09)^25)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</si>
</sst>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XDR&quot;#,##0.00;[Red]\-&quot;XDR&quot;#,##0.00"/>
    <numFmt numFmtId="44" formatCode="_-&quot;XDR&quot;* #,##0.00_-;\-&quot;XDR&quot;* #,##0.00_-;_-&quot;XDR&quot;* &quot;-&quot;??_-;_-@_-"/>
    <numFmt numFmtId="164" formatCode="#,##0.00\ [$€-1];[Red]\-#,##0.00\ [$€-1]"/>
    <numFmt numFmtId="165" formatCode="_-* #,##0.00\ [$€-C0A]_-;\-* #,##0.00\ [$€-C0A]_-;_-* &quot;-&quot;??\ [$€-C0A]_-;_-@_-"/>
    <numFmt numFmtId="166" formatCode="_-* #,##0\ [$€-C0A]_-;\-* #,##0\ [$€-C0A]_-;_-* &quot;-&quot;??\ [$€-C0A]_-;_-@_-"/>
    <numFmt numFmtId="167" formatCode="#,##0.000"/>
    <numFmt numFmtId="168" formatCode="0.000"/>
  </numFmts>
  <fonts count="2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9"/>
      <color rgb="FF000000"/>
      <name val="Calibri"/>
      <family val="2"/>
    </font>
    <font>
      <sz val="9"/>
      <color theme="1"/>
      <name val="Aptos Narrow"/>
      <family val="2"/>
      <scheme val="minor"/>
    </font>
    <font>
      <sz val="10"/>
      <color rgb="FF000000"/>
      <name val="Calibri"/>
      <family val="2"/>
    </font>
    <font>
      <sz val="10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rgb="FF00B050"/>
      <name val="Calibri"/>
      <family val="2"/>
    </font>
    <font>
      <b/>
      <sz val="11"/>
      <color rgb="FF00B050"/>
      <name val="Calibri"/>
      <family val="2"/>
    </font>
    <font>
      <b/>
      <sz val="11"/>
      <color theme="1"/>
      <name val="Calirbi"/>
    </font>
    <font>
      <sz val="11"/>
      <color theme="1"/>
      <name val="Calirbi"/>
    </font>
    <font>
      <sz val="11"/>
      <color rgb="FF000000"/>
      <name val="calirbi"/>
    </font>
    <font>
      <b/>
      <sz val="12"/>
      <color rgb="FF000000"/>
      <name val="CaliRBI"/>
    </font>
    <font>
      <sz val="12"/>
      <color theme="1"/>
      <name val="CaliRBI"/>
    </font>
    <font>
      <sz val="12"/>
      <color rgb="FF000000"/>
      <name val="CaliRBI"/>
    </font>
    <font>
      <b/>
      <sz val="11"/>
      <color rgb="FF000000"/>
      <name val="Calirbi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E6F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FFFFFF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FFFFFF"/>
      </bottom>
      <diagonal/>
    </border>
    <border>
      <left style="medium">
        <color rgb="FF000000"/>
      </left>
      <right style="medium">
        <color indexed="64"/>
      </right>
      <top style="medium">
        <color rgb="FFFFFFFF"/>
      </top>
      <bottom style="medium">
        <color rgb="FFFFFFFF"/>
      </bottom>
      <diagonal/>
    </border>
    <border>
      <left style="medium">
        <color rgb="FF000000"/>
      </left>
      <right style="medium">
        <color indexed="64"/>
      </right>
      <top style="medium">
        <color rgb="FFFFFFFF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FFFFFF"/>
      </bottom>
      <diagonal/>
    </border>
    <border>
      <left/>
      <right style="medium">
        <color rgb="FF000000"/>
      </right>
      <top style="medium">
        <color rgb="FFFFFFFF"/>
      </top>
      <bottom/>
      <diagonal/>
    </border>
    <border>
      <left/>
      <right style="medium">
        <color rgb="FF000000"/>
      </right>
      <top style="medium">
        <color rgb="FFFFFFFF"/>
      </top>
      <bottom style="medium">
        <color rgb="FFFFFFFF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D0D7DE"/>
      </left>
      <right/>
      <top/>
      <bottom style="medium">
        <color rgb="FFD0D7DE"/>
      </bottom>
      <diagonal/>
    </border>
    <border>
      <left style="medium">
        <color rgb="FFD0D7DE"/>
      </left>
      <right/>
      <top style="thin">
        <color indexed="64"/>
      </top>
      <bottom style="thin">
        <color indexed="64"/>
      </bottom>
      <diagonal/>
    </border>
    <border>
      <left style="medium">
        <color rgb="FFD0D7DE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rgb="FFD0D7DE"/>
      </bottom>
      <diagonal/>
    </border>
    <border>
      <left style="medium">
        <color rgb="FFD0D7DE"/>
      </left>
      <right style="thin">
        <color indexed="64"/>
      </right>
      <top/>
      <bottom style="medium">
        <color rgb="FFD0D7DE"/>
      </bottom>
      <diagonal/>
    </border>
    <border>
      <left style="thin">
        <color indexed="64"/>
      </left>
      <right/>
      <top style="medium">
        <color rgb="FFD0D7DE"/>
      </top>
      <bottom/>
      <diagonal/>
    </border>
    <border>
      <left/>
      <right/>
      <top style="medium">
        <color rgb="FFD0D7DE"/>
      </top>
      <bottom/>
      <diagonal/>
    </border>
    <border>
      <left/>
      <right style="thin">
        <color indexed="64"/>
      </right>
      <top style="medium">
        <color rgb="FFD0D7DE"/>
      </top>
      <bottom/>
      <diagonal/>
    </border>
    <border>
      <left style="medium">
        <color rgb="FFD0D7DE"/>
      </left>
      <right/>
      <top/>
      <bottom/>
      <diagonal/>
    </border>
    <border>
      <left style="medium">
        <color rgb="FFD0D7DE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0" fillId="0" borderId="6" xfId="0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justify" vertical="center" wrapText="1"/>
    </xf>
    <xf numFmtId="0" fontId="5" fillId="0" borderId="39" xfId="0" applyFont="1" applyBorder="1" applyAlignment="1">
      <alignment horizontal="justify" vertical="center" wrapText="1"/>
    </xf>
    <xf numFmtId="0" fontId="6" fillId="0" borderId="44" xfId="0" applyFont="1" applyBorder="1" applyAlignment="1">
      <alignment vertical="center" wrapText="1"/>
    </xf>
    <xf numFmtId="0" fontId="6" fillId="0" borderId="13" xfId="0" applyFont="1" applyBorder="1" applyAlignment="1">
      <alignment horizontal="justify" vertical="center" wrapText="1"/>
    </xf>
    <xf numFmtId="0" fontId="6" fillId="0" borderId="45" xfId="0" applyFont="1" applyBorder="1" applyAlignment="1">
      <alignment vertical="center" wrapText="1"/>
    </xf>
    <xf numFmtId="0" fontId="5" fillId="0" borderId="46" xfId="0" applyFont="1" applyBorder="1" applyAlignment="1">
      <alignment horizontal="justify" vertical="center" wrapText="1"/>
    </xf>
    <xf numFmtId="0" fontId="6" fillId="0" borderId="47" xfId="0" applyFont="1" applyBorder="1" applyAlignment="1">
      <alignment horizontal="justify" vertical="center" wrapText="1"/>
    </xf>
    <xf numFmtId="0" fontId="6" fillId="0" borderId="48" xfId="0" applyFont="1" applyBorder="1" applyAlignment="1">
      <alignment horizontal="justify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top" wrapText="1"/>
    </xf>
    <xf numFmtId="0" fontId="6" fillId="0" borderId="50" xfId="0" applyFont="1" applyBorder="1" applyAlignment="1">
      <alignment horizontal="justify" vertical="center" wrapText="1"/>
    </xf>
    <xf numFmtId="0" fontId="3" fillId="0" borderId="5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vertical="center" wrapText="1"/>
    </xf>
    <xf numFmtId="0" fontId="5" fillId="5" borderId="12" xfId="0" applyFont="1" applyFill="1" applyBorder="1" applyAlignment="1">
      <alignment horizontal="justify" vertical="center" wrapText="1"/>
    </xf>
    <xf numFmtId="0" fontId="5" fillId="5" borderId="43" xfId="0" applyFont="1" applyFill="1" applyBorder="1" applyAlignment="1">
      <alignment horizontal="justify" vertical="center" wrapText="1"/>
    </xf>
    <xf numFmtId="165" fontId="10" fillId="5" borderId="38" xfId="1" applyNumberFormat="1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justify" vertical="center" wrapText="1"/>
    </xf>
    <xf numFmtId="0" fontId="6" fillId="5" borderId="44" xfId="0" applyFont="1" applyFill="1" applyBorder="1" applyAlignment="1">
      <alignment vertical="center" wrapText="1"/>
    </xf>
    <xf numFmtId="0" fontId="5" fillId="5" borderId="39" xfId="0" applyFont="1" applyFill="1" applyBorder="1" applyAlignment="1">
      <alignment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8" fillId="4" borderId="56" xfId="0" applyFont="1" applyFill="1" applyBorder="1" applyAlignment="1">
      <alignment horizontal="center" vertical="center" wrapText="1"/>
    </xf>
    <xf numFmtId="0" fontId="8" fillId="4" borderId="57" xfId="0" applyFont="1" applyFill="1" applyBorder="1" applyAlignment="1">
      <alignment horizontal="center" vertical="center" wrapText="1"/>
    </xf>
    <xf numFmtId="165" fontId="0" fillId="0" borderId="0" xfId="0" applyNumberFormat="1"/>
    <xf numFmtId="165" fontId="5" fillId="3" borderId="31" xfId="0" applyNumberFormat="1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vertical="center" wrapText="1"/>
    </xf>
    <xf numFmtId="0" fontId="10" fillId="0" borderId="49" xfId="0" applyFont="1" applyBorder="1" applyAlignment="1">
      <alignment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12" fillId="0" borderId="0" xfId="0" applyFont="1"/>
    <xf numFmtId="165" fontId="3" fillId="0" borderId="33" xfId="0" applyNumberFormat="1" applyFont="1" applyBorder="1" applyAlignment="1">
      <alignment horizontal="right" vertical="center" wrapText="1"/>
    </xf>
    <xf numFmtId="165" fontId="3" fillId="0" borderId="30" xfId="0" applyNumberFormat="1" applyFont="1" applyBorder="1" applyAlignment="1">
      <alignment vertical="center" wrapText="1"/>
    </xf>
    <xf numFmtId="165" fontId="10" fillId="0" borderId="31" xfId="0" applyNumberFormat="1" applyFont="1" applyBorder="1" applyAlignment="1">
      <alignment vertical="center" wrapText="1"/>
    </xf>
    <xf numFmtId="0" fontId="14" fillId="0" borderId="15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14" fillId="0" borderId="62" xfId="0" applyFont="1" applyBorder="1" applyAlignment="1">
      <alignment horizontal="center"/>
    </xf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14" fillId="0" borderId="63" xfId="0" applyFont="1" applyBorder="1" applyAlignment="1">
      <alignment horizontal="center"/>
    </xf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13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165" fontId="16" fillId="0" borderId="7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 wrapText="1"/>
    </xf>
    <xf numFmtId="165" fontId="16" fillId="0" borderId="7" xfId="0" applyNumberFormat="1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5" fontId="17" fillId="0" borderId="7" xfId="0" applyNumberFormat="1" applyFont="1" applyBorder="1" applyAlignment="1">
      <alignment horizontal="center"/>
    </xf>
    <xf numFmtId="165" fontId="18" fillId="0" borderId="7" xfId="0" applyNumberFormat="1" applyFont="1" applyBorder="1" applyAlignment="1">
      <alignment horizontal="center"/>
    </xf>
    <xf numFmtId="165" fontId="19" fillId="0" borderId="7" xfId="0" applyNumberFormat="1" applyFont="1" applyBorder="1" applyAlignment="1">
      <alignment horizontal="center"/>
    </xf>
    <xf numFmtId="165" fontId="18" fillId="0" borderId="7" xfId="0" applyNumberFormat="1" applyFont="1" applyBorder="1" applyAlignment="1">
      <alignment horizontal="center" vertical="center"/>
    </xf>
    <xf numFmtId="9" fontId="0" fillId="0" borderId="0" xfId="0" applyNumberFormat="1"/>
    <xf numFmtId="165" fontId="10" fillId="0" borderId="0" xfId="1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0" fillId="7" borderId="7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/>
    </xf>
    <xf numFmtId="0" fontId="20" fillId="7" borderId="81" xfId="0" applyFont="1" applyFill="1" applyBorder="1" applyAlignment="1">
      <alignment horizontal="center"/>
    </xf>
    <xf numFmtId="0" fontId="20" fillId="7" borderId="82" xfId="0" applyFont="1" applyFill="1" applyBorder="1" applyAlignment="1">
      <alignment horizontal="center" vertical="center" wrapText="1"/>
    </xf>
    <xf numFmtId="0" fontId="8" fillId="10" borderId="85" xfId="0" applyFont="1" applyFill="1" applyBorder="1" applyAlignment="1">
      <alignment horizontal="center" vertical="center" wrapText="1"/>
    </xf>
    <xf numFmtId="0" fontId="5" fillId="0" borderId="86" xfId="0" applyFont="1" applyBorder="1" applyAlignment="1">
      <alignment horizontal="justify" vertical="center" wrapText="1"/>
    </xf>
    <xf numFmtId="0" fontId="6" fillId="0" borderId="87" xfId="0" applyFont="1" applyBorder="1" applyAlignment="1">
      <alignment vertical="center" wrapText="1"/>
    </xf>
    <xf numFmtId="0" fontId="5" fillId="0" borderId="88" xfId="0" applyFont="1" applyBorder="1" applyAlignment="1">
      <alignment horizontal="justify" vertical="center" wrapText="1"/>
    </xf>
    <xf numFmtId="0" fontId="5" fillId="0" borderId="88" xfId="0" applyFont="1" applyBorder="1" applyAlignment="1">
      <alignment vertical="center" wrapText="1"/>
    </xf>
    <xf numFmtId="0" fontId="6" fillId="0" borderId="90" xfId="0" applyFont="1" applyBorder="1" applyAlignment="1">
      <alignment vertical="center" wrapText="1"/>
    </xf>
    <xf numFmtId="0" fontId="5" fillId="0" borderId="91" xfId="0" applyFont="1" applyBorder="1" applyAlignment="1">
      <alignment horizontal="justify" vertical="center" wrapText="1"/>
    </xf>
    <xf numFmtId="0" fontId="3" fillId="0" borderId="91" xfId="0" applyFont="1" applyBorder="1" applyAlignment="1">
      <alignment horizontal="center" vertical="center" wrapText="1"/>
    </xf>
    <xf numFmtId="0" fontId="10" fillId="0" borderId="91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justify" vertical="center" wrapText="1"/>
    </xf>
    <xf numFmtId="0" fontId="6" fillId="0" borderId="92" xfId="0" applyFont="1" applyBorder="1" applyAlignment="1">
      <alignment horizontal="justify" vertical="center" wrapText="1"/>
    </xf>
    <xf numFmtId="0" fontId="3" fillId="0" borderId="92" xfId="0" applyFont="1" applyBorder="1" applyAlignment="1">
      <alignment horizontal="center" vertical="center" wrapText="1"/>
    </xf>
    <xf numFmtId="0" fontId="10" fillId="0" borderId="92" xfId="0" applyFont="1" applyBorder="1" applyAlignment="1">
      <alignment horizontal="center" vertical="center" wrapText="1"/>
    </xf>
    <xf numFmtId="0" fontId="6" fillId="0" borderId="89" xfId="0" applyFont="1" applyBorder="1" applyAlignment="1">
      <alignment horizontal="justify" vertical="center" wrapText="1"/>
    </xf>
    <xf numFmtId="0" fontId="3" fillId="0" borderId="89" xfId="0" applyFont="1" applyBorder="1" applyAlignment="1">
      <alignment horizontal="center" vertical="center" wrapText="1"/>
    </xf>
    <xf numFmtId="0" fontId="10" fillId="0" borderId="89" xfId="0" applyFont="1" applyBorder="1" applyAlignment="1">
      <alignment horizontal="center" vertical="center" wrapText="1"/>
    </xf>
    <xf numFmtId="0" fontId="4" fillId="0" borderId="85" xfId="0" applyFont="1" applyBorder="1" applyAlignment="1">
      <alignment vertical="center" wrapText="1"/>
    </xf>
    <xf numFmtId="0" fontId="5" fillId="0" borderId="85" xfId="0" applyFont="1" applyBorder="1" applyAlignment="1">
      <alignment horizontal="center" vertical="center" wrapText="1"/>
    </xf>
    <xf numFmtId="0" fontId="0" fillId="0" borderId="85" xfId="0" applyBorder="1" applyAlignment="1">
      <alignment vertical="top" wrapText="1"/>
    </xf>
    <xf numFmtId="0" fontId="8" fillId="3" borderId="85" xfId="0" applyFont="1" applyFill="1" applyBorder="1" applyAlignment="1">
      <alignment vertical="center" wrapText="1"/>
    </xf>
    <xf numFmtId="0" fontId="5" fillId="3" borderId="85" xfId="0" applyFont="1" applyFill="1" applyBorder="1" applyAlignment="1">
      <alignment vertical="center" wrapText="1"/>
    </xf>
    <xf numFmtId="0" fontId="20" fillId="7" borderId="74" xfId="0" applyFont="1" applyFill="1" applyBorder="1" applyAlignment="1">
      <alignment horizontal="center"/>
    </xf>
    <xf numFmtId="0" fontId="20" fillId="7" borderId="0" xfId="0" applyFont="1" applyFill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wrapText="1"/>
    </xf>
    <xf numFmtId="0" fontId="22" fillId="0" borderId="0" xfId="0" applyFont="1"/>
    <xf numFmtId="167" fontId="22" fillId="0" borderId="0" xfId="0" applyNumberFormat="1" applyFont="1" applyAlignment="1">
      <alignment horizontal="center" vertical="center"/>
    </xf>
    <xf numFmtId="168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166" fontId="20" fillId="7" borderId="76" xfId="0" applyNumberFormat="1" applyFont="1" applyFill="1" applyBorder="1" applyAlignment="1">
      <alignment horizontal="center"/>
    </xf>
    <xf numFmtId="0" fontId="22" fillId="0" borderId="73" xfId="0" applyFont="1" applyBorder="1" applyAlignment="1">
      <alignment vertical="center"/>
    </xf>
    <xf numFmtId="0" fontId="22" fillId="0" borderId="73" xfId="0" applyFont="1" applyBorder="1" applyAlignment="1">
      <alignment horizontal="center" vertical="center"/>
    </xf>
    <xf numFmtId="166" fontId="22" fillId="0" borderId="76" xfId="0" applyNumberFormat="1" applyFont="1" applyBorder="1" applyAlignment="1">
      <alignment horizontal="center" vertical="center"/>
    </xf>
    <xf numFmtId="166" fontId="21" fillId="0" borderId="77" xfId="1" applyNumberFormat="1" applyFont="1" applyBorder="1" applyAlignment="1">
      <alignment horizontal="center" vertical="center"/>
    </xf>
    <xf numFmtId="0" fontId="21" fillId="0" borderId="67" xfId="0" applyFont="1" applyBorder="1"/>
    <xf numFmtId="0" fontId="21" fillId="0" borderId="67" xfId="0" applyFont="1" applyBorder="1" applyAlignment="1">
      <alignment horizontal="center" vertical="center"/>
    </xf>
    <xf numFmtId="166" fontId="21" fillId="0" borderId="79" xfId="1" applyNumberFormat="1" applyFont="1" applyBorder="1" applyAlignment="1">
      <alignment horizontal="center" vertical="center"/>
    </xf>
    <xf numFmtId="166" fontId="22" fillId="0" borderId="77" xfId="1" applyNumberFormat="1" applyFont="1" applyBorder="1" applyAlignment="1">
      <alignment horizontal="center"/>
    </xf>
    <xf numFmtId="0" fontId="21" fillId="0" borderId="67" xfId="0" applyFont="1" applyBorder="1" applyAlignment="1">
      <alignment wrapText="1"/>
    </xf>
    <xf numFmtId="0" fontId="22" fillId="0" borderId="67" xfId="0" applyFont="1" applyBorder="1" applyAlignment="1">
      <alignment horizontal="center" vertical="center"/>
    </xf>
    <xf numFmtId="166" fontId="22" fillId="0" borderId="79" xfId="1" applyNumberFormat="1" applyFont="1" applyBorder="1" applyAlignment="1">
      <alignment horizontal="center" vertical="center"/>
    </xf>
    <xf numFmtId="0" fontId="21" fillId="0" borderId="73" xfId="0" applyFont="1" applyBorder="1"/>
    <xf numFmtId="164" fontId="22" fillId="0" borderId="73" xfId="0" applyNumberFormat="1" applyFont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0" fontId="21" fillId="0" borderId="80" xfId="0" applyFont="1" applyBorder="1"/>
    <xf numFmtId="0" fontId="21" fillId="0" borderId="68" xfId="0" applyFont="1" applyBorder="1"/>
    <xf numFmtId="0" fontId="22" fillId="0" borderId="73" xfId="0" applyFont="1" applyBorder="1" applyAlignment="1">
      <alignment wrapText="1"/>
    </xf>
    <xf numFmtId="0" fontId="22" fillId="0" borderId="67" xfId="0" applyFont="1" applyBorder="1"/>
    <xf numFmtId="0" fontId="21" fillId="0" borderId="74" xfId="0" applyFont="1" applyBorder="1"/>
    <xf numFmtId="0" fontId="22" fillId="0" borderId="73" xfId="0" applyFont="1" applyBorder="1" applyAlignment="1">
      <alignment horizontal="left" vertical="center" wrapText="1"/>
    </xf>
    <xf numFmtId="168" fontId="22" fillId="0" borderId="73" xfId="0" applyNumberFormat="1" applyFont="1" applyBorder="1" applyAlignment="1">
      <alignment horizontal="center" vertical="center"/>
    </xf>
    <xf numFmtId="168" fontId="22" fillId="0" borderId="67" xfId="0" applyNumberFormat="1" applyFont="1" applyBorder="1" applyAlignment="1">
      <alignment horizontal="center" vertical="center"/>
    </xf>
    <xf numFmtId="0" fontId="21" fillId="0" borderId="75" xfId="0" applyFont="1" applyBorder="1"/>
    <xf numFmtId="166" fontId="21" fillId="0" borderId="76" xfId="1" applyNumberFormat="1" applyFont="1" applyBorder="1" applyAlignment="1">
      <alignment horizontal="center" vertical="center"/>
    </xf>
    <xf numFmtId="0" fontId="22" fillId="0" borderId="67" xfId="0" applyFont="1" applyBorder="1" applyAlignment="1">
      <alignment horizontal="left" vertical="center" wrapText="1"/>
    </xf>
    <xf numFmtId="166" fontId="20" fillId="7" borderId="79" xfId="1" applyNumberFormat="1" applyFont="1" applyFill="1" applyBorder="1" applyAlignment="1">
      <alignment horizontal="center"/>
    </xf>
    <xf numFmtId="166" fontId="20" fillId="7" borderId="77" xfId="1" applyNumberFormat="1" applyFont="1" applyFill="1" applyBorder="1" applyAlignment="1">
      <alignment horizontal="center"/>
    </xf>
    <xf numFmtId="166" fontId="21" fillId="0" borderId="76" xfId="1" applyNumberFormat="1" applyFont="1" applyBorder="1" applyAlignment="1">
      <alignment horizontal="center"/>
    </xf>
    <xf numFmtId="166" fontId="20" fillId="7" borderId="7" xfId="1" applyNumberFormat="1" applyFont="1" applyFill="1" applyBorder="1" applyAlignment="1">
      <alignment horizontal="center"/>
    </xf>
    <xf numFmtId="166" fontId="21" fillId="0" borderId="79" xfId="1" applyNumberFormat="1" applyFont="1" applyBorder="1" applyAlignment="1">
      <alignment horizontal="center"/>
    </xf>
    <xf numFmtId="166" fontId="21" fillId="0" borderId="77" xfId="1" applyNumberFormat="1" applyFont="1" applyBorder="1" applyAlignment="1">
      <alignment horizontal="center"/>
    </xf>
    <xf numFmtId="166" fontId="20" fillId="7" borderId="82" xfId="1" applyNumberFormat="1" applyFont="1" applyFill="1" applyBorder="1" applyAlignment="1">
      <alignment horizontal="center"/>
    </xf>
    <xf numFmtId="166" fontId="20" fillId="7" borderId="84" xfId="1" applyNumberFormat="1" applyFont="1" applyFill="1" applyBorder="1" applyAlignment="1">
      <alignment horizontal="center"/>
    </xf>
    <xf numFmtId="0" fontId="4" fillId="0" borderId="85" xfId="0" applyFont="1" applyBorder="1" applyAlignment="1">
      <alignment horizontal="justify" vertical="center" wrapText="1"/>
    </xf>
    <xf numFmtId="0" fontId="3" fillId="0" borderId="85" xfId="0" applyFont="1" applyBorder="1" applyAlignment="1">
      <alignment horizontal="center" vertical="center" wrapText="1"/>
    </xf>
    <xf numFmtId="0" fontId="10" fillId="0" borderId="85" xfId="0" applyFont="1" applyBorder="1" applyAlignment="1">
      <alignment horizontal="justify" vertical="center" wrapText="1"/>
    </xf>
    <xf numFmtId="164" fontId="3" fillId="0" borderId="85" xfId="0" applyNumberFormat="1" applyFont="1" applyBorder="1" applyAlignment="1">
      <alignment horizontal="center" vertical="center" wrapText="1"/>
    </xf>
    <xf numFmtId="9" fontId="3" fillId="0" borderId="85" xfId="0" applyNumberFormat="1" applyFont="1" applyBorder="1" applyAlignment="1">
      <alignment horizontal="center" vertical="center" wrapText="1"/>
    </xf>
    <xf numFmtId="0" fontId="8" fillId="0" borderId="85" xfId="0" applyFont="1" applyBorder="1" applyAlignment="1">
      <alignment horizontal="center" vertical="center" wrapText="1"/>
    </xf>
    <xf numFmtId="0" fontId="20" fillId="5" borderId="0" xfId="0" applyFont="1" applyFill="1" applyAlignment="1">
      <alignment horizontal="center"/>
    </xf>
    <xf numFmtId="0" fontId="20" fillId="7" borderId="80" xfId="0" applyFont="1" applyFill="1" applyBorder="1" applyAlignment="1">
      <alignment horizontal="center" vertical="center"/>
    </xf>
    <xf numFmtId="0" fontId="20" fillId="7" borderId="81" xfId="0" applyFont="1" applyFill="1" applyBorder="1" applyAlignment="1">
      <alignment horizontal="center" vertical="center"/>
    </xf>
    <xf numFmtId="0" fontId="20" fillId="5" borderId="74" xfId="0" applyFont="1" applyFill="1" applyBorder="1" applyAlignment="1">
      <alignment horizontal="center" vertical="center"/>
    </xf>
    <xf numFmtId="0" fontId="20" fillId="5" borderId="82" xfId="0" applyFont="1" applyFill="1" applyBorder="1" applyAlignment="1">
      <alignment horizontal="center" vertical="center"/>
    </xf>
    <xf numFmtId="166" fontId="20" fillId="7" borderId="79" xfId="1" applyNumberFormat="1" applyFont="1" applyFill="1" applyBorder="1" applyAlignment="1">
      <alignment horizontal="center" vertical="center"/>
    </xf>
    <xf numFmtId="166" fontId="20" fillId="7" borderId="77" xfId="1" applyNumberFormat="1" applyFont="1" applyFill="1" applyBorder="1" applyAlignment="1">
      <alignment horizontal="center" vertical="center"/>
    </xf>
    <xf numFmtId="0" fontId="21" fillId="0" borderId="80" xfId="0" applyFont="1" applyBorder="1" applyAlignment="1">
      <alignment vertical="center"/>
    </xf>
    <xf numFmtId="0" fontId="21" fillId="0" borderId="68" xfId="0" applyFont="1" applyBorder="1" applyAlignment="1">
      <alignment vertical="center"/>
    </xf>
    <xf numFmtId="166" fontId="20" fillId="7" borderId="7" xfId="1" applyNumberFormat="1" applyFont="1" applyFill="1" applyBorder="1" applyAlignment="1">
      <alignment horizontal="center" vertical="center"/>
    </xf>
    <xf numFmtId="0" fontId="20" fillId="7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11" borderId="7" xfId="0" applyFont="1" applyFill="1" applyBorder="1" applyAlignment="1">
      <alignment horizontal="center" vertical="center"/>
    </xf>
    <xf numFmtId="0" fontId="0" fillId="0" borderId="7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5" xfId="0" applyBorder="1"/>
    <xf numFmtId="0" fontId="20" fillId="5" borderId="7" xfId="0" applyFont="1" applyFill="1" applyBorder="1" applyAlignment="1">
      <alignment horizontal="center" vertical="center"/>
    </xf>
    <xf numFmtId="0" fontId="0" fillId="5" borderId="0" xfId="0" applyFill="1"/>
    <xf numFmtId="0" fontId="20" fillId="5" borderId="7" xfId="0" applyFont="1" applyFill="1" applyBorder="1" applyAlignment="1">
      <alignment horizontal="center"/>
    </xf>
    <xf numFmtId="0" fontId="20" fillId="5" borderId="83" xfId="0" applyFont="1" applyFill="1" applyBorder="1" applyAlignment="1">
      <alignment horizontal="center"/>
    </xf>
    <xf numFmtId="0" fontId="20" fillId="5" borderId="76" xfId="0" applyFont="1" applyFill="1" applyBorder="1"/>
    <xf numFmtId="0" fontId="20" fillId="7" borderId="81" xfId="0" applyFont="1" applyFill="1" applyBorder="1" applyAlignment="1">
      <alignment horizontal="center" vertical="center" wrapText="1"/>
    </xf>
    <xf numFmtId="0" fontId="21" fillId="0" borderId="82" xfId="0" applyFont="1" applyBorder="1" applyAlignment="1">
      <alignment horizontal="center"/>
    </xf>
    <xf numFmtId="0" fontId="21" fillId="0" borderId="84" xfId="0" applyFont="1" applyBorder="1" applyAlignment="1">
      <alignment horizontal="center"/>
    </xf>
    <xf numFmtId="0" fontId="21" fillId="0" borderId="83" xfId="0" applyFont="1" applyBorder="1" applyAlignment="1">
      <alignment horizontal="center"/>
    </xf>
    <xf numFmtId="0" fontId="10" fillId="5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vertical="top" wrapText="1"/>
    </xf>
    <xf numFmtId="164" fontId="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4" borderId="0" xfId="0" applyFont="1" applyFill="1" applyAlignment="1">
      <alignment horizontal="center" vertical="center" wrapText="1"/>
    </xf>
    <xf numFmtId="165" fontId="10" fillId="5" borderId="0" xfId="0" applyNumberFormat="1" applyFont="1" applyFill="1" applyAlignment="1">
      <alignment vertical="center" wrapText="1"/>
    </xf>
    <xf numFmtId="165" fontId="10" fillId="5" borderId="0" xfId="0" applyNumberFormat="1" applyFont="1" applyFill="1" applyAlignment="1">
      <alignment horizontal="center" vertical="center" wrapText="1"/>
    </xf>
    <xf numFmtId="165" fontId="10" fillId="5" borderId="0" xfId="1" applyNumberFormat="1" applyFont="1" applyFill="1" applyBorder="1" applyAlignment="1">
      <alignment horizontal="center" vertical="center" wrapText="1"/>
    </xf>
    <xf numFmtId="164" fontId="10" fillId="5" borderId="0" xfId="0" applyNumberFormat="1" applyFont="1" applyFill="1" applyAlignment="1">
      <alignment horizontal="center" vertical="center" wrapText="1"/>
    </xf>
    <xf numFmtId="165" fontId="5" fillId="3" borderId="0" xfId="0" applyNumberFormat="1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0" fillId="0" borderId="0" xfId="0" applyNumberFormat="1" applyFont="1" applyAlignment="1">
      <alignment vertical="center" wrapText="1"/>
    </xf>
    <xf numFmtId="0" fontId="20" fillId="5" borderId="0" xfId="0" applyFont="1" applyFill="1" applyAlignment="1">
      <alignment horizontal="center" vertical="center"/>
    </xf>
    <xf numFmtId="0" fontId="23" fillId="7" borderId="80" xfId="0" applyFont="1" applyFill="1" applyBorder="1" applyAlignment="1">
      <alignment horizontal="center" vertical="center" wrapText="1"/>
    </xf>
    <xf numFmtId="0" fontId="23" fillId="7" borderId="95" xfId="0" applyFont="1" applyFill="1" applyBorder="1" applyAlignment="1">
      <alignment horizontal="center" vertical="center" wrapText="1"/>
    </xf>
    <xf numFmtId="0" fontId="23" fillId="7" borderId="96" xfId="0" applyFont="1" applyFill="1" applyBorder="1" applyAlignment="1">
      <alignment horizontal="center" vertical="center" wrapText="1"/>
    </xf>
    <xf numFmtId="0" fontId="24" fillId="12" borderId="94" xfId="0" applyFont="1" applyFill="1" applyBorder="1" applyAlignment="1">
      <alignment horizontal="center" vertical="center" wrapText="1"/>
    </xf>
    <xf numFmtId="3" fontId="25" fillId="5" borderId="94" xfId="0" applyNumberFormat="1" applyFont="1" applyFill="1" applyBorder="1" applyAlignment="1">
      <alignment horizontal="center" vertical="center" wrapText="1"/>
    </xf>
    <xf numFmtId="0" fontId="23" fillId="12" borderId="97" xfId="0" applyFont="1" applyFill="1" applyBorder="1" applyAlignment="1">
      <alignment horizontal="center" vertical="center" wrapText="1"/>
    </xf>
    <xf numFmtId="0" fontId="24" fillId="12" borderId="98" xfId="0" applyFont="1" applyFill="1" applyBorder="1" applyAlignment="1">
      <alignment horizontal="center" vertical="center" wrapText="1"/>
    </xf>
    <xf numFmtId="0" fontId="25" fillId="5" borderId="97" xfId="0" applyFont="1" applyFill="1" applyBorder="1" applyAlignment="1">
      <alignment horizontal="center" vertical="center" wrapText="1"/>
    </xf>
    <xf numFmtId="3" fontId="25" fillId="5" borderId="98" xfId="0" applyNumberFormat="1" applyFont="1" applyFill="1" applyBorder="1" applyAlignment="1">
      <alignment horizontal="center" vertical="center" wrapText="1"/>
    </xf>
    <xf numFmtId="0" fontId="25" fillId="12" borderId="97" xfId="0" applyFont="1" applyFill="1" applyBorder="1" applyAlignment="1">
      <alignment horizontal="center" vertical="center" wrapText="1"/>
    </xf>
    <xf numFmtId="3" fontId="23" fillId="7" borderId="96" xfId="0" applyNumberFormat="1" applyFont="1" applyFill="1" applyBorder="1" applyAlignment="1">
      <alignment horizontal="center" vertical="center" wrapText="1"/>
    </xf>
    <xf numFmtId="0" fontId="24" fillId="5" borderId="94" xfId="0" applyFont="1" applyFill="1" applyBorder="1" applyAlignment="1">
      <alignment horizontal="center" vertical="center" wrapText="1"/>
    </xf>
    <xf numFmtId="0" fontId="23" fillId="5" borderId="97" xfId="0" applyFont="1" applyFill="1" applyBorder="1" applyAlignment="1">
      <alignment horizontal="center" vertical="center" wrapText="1"/>
    </xf>
    <xf numFmtId="0" fontId="24" fillId="5" borderId="98" xfId="0" applyFont="1" applyFill="1" applyBorder="1" applyAlignment="1">
      <alignment horizontal="center" vertical="center" wrapText="1"/>
    </xf>
    <xf numFmtId="0" fontId="24" fillId="12" borderId="75" xfId="0" applyFont="1" applyFill="1" applyBorder="1" applyAlignment="1">
      <alignment horizontal="center" vertical="center" wrapText="1"/>
    </xf>
    <xf numFmtId="0" fontId="24" fillId="12" borderId="102" xfId="0" applyFont="1" applyFill="1" applyBorder="1" applyAlignment="1">
      <alignment horizontal="center" vertical="center" wrapText="1"/>
    </xf>
    <xf numFmtId="0" fontId="24" fillId="12" borderId="103" xfId="0" applyFont="1" applyFill="1" applyBorder="1" applyAlignment="1">
      <alignment horizontal="center" vertical="center" wrapText="1"/>
    </xf>
    <xf numFmtId="0" fontId="25" fillId="12" borderId="75" xfId="0" applyFont="1" applyFill="1" applyBorder="1" applyAlignment="1">
      <alignment horizontal="center" vertical="center" wrapText="1"/>
    </xf>
    <xf numFmtId="3" fontId="23" fillId="5" borderId="95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6" fillId="7" borderId="40" xfId="0" applyFont="1" applyFill="1" applyBorder="1" applyAlignment="1">
      <alignment horizontal="center" vertical="center" wrapText="1"/>
    </xf>
    <xf numFmtId="0" fontId="26" fillId="7" borderId="17" xfId="0" applyFont="1" applyFill="1" applyBorder="1" applyAlignment="1">
      <alignment horizontal="center" vertical="center" wrapText="1"/>
    </xf>
    <xf numFmtId="0" fontId="26" fillId="7" borderId="28" xfId="0" applyFont="1" applyFill="1" applyBorder="1" applyAlignment="1">
      <alignment horizontal="center" vertical="center" wrapText="1"/>
    </xf>
    <xf numFmtId="0" fontId="26" fillId="7" borderId="61" xfId="0" applyFont="1" applyFill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/>
    </xf>
    <xf numFmtId="0" fontId="2" fillId="0" borderId="82" xfId="0" applyFont="1" applyBorder="1" applyAlignment="1">
      <alignment horizontal="center"/>
    </xf>
    <xf numFmtId="166" fontId="20" fillId="5" borderId="0" xfId="0" applyNumberFormat="1" applyFont="1" applyFill="1" applyAlignment="1">
      <alignment horizontal="center"/>
    </xf>
    <xf numFmtId="166" fontId="22" fillId="5" borderId="0" xfId="0" applyNumberFormat="1" applyFont="1" applyFill="1" applyAlignment="1">
      <alignment horizontal="center" vertical="center"/>
    </xf>
    <xf numFmtId="166" fontId="21" fillId="5" borderId="0" xfId="1" applyNumberFormat="1" applyFont="1" applyFill="1" applyBorder="1" applyAlignment="1">
      <alignment horizontal="center" vertical="center"/>
    </xf>
    <xf numFmtId="166" fontId="20" fillId="5" borderId="0" xfId="1" applyNumberFormat="1" applyFont="1" applyFill="1" applyBorder="1" applyAlignment="1">
      <alignment horizontal="center"/>
    </xf>
    <xf numFmtId="166" fontId="22" fillId="5" borderId="0" xfId="1" applyNumberFormat="1" applyFont="1" applyFill="1" applyBorder="1" applyAlignment="1">
      <alignment horizontal="center"/>
    </xf>
    <xf numFmtId="166" fontId="22" fillId="5" borderId="0" xfId="1" applyNumberFormat="1" applyFont="1" applyFill="1" applyBorder="1" applyAlignment="1">
      <alignment horizontal="center" vertical="center"/>
    </xf>
    <xf numFmtId="166" fontId="21" fillId="5" borderId="0" xfId="1" applyNumberFormat="1" applyFont="1" applyFill="1" applyBorder="1" applyAlignment="1">
      <alignment horizontal="center"/>
    </xf>
    <xf numFmtId="0" fontId="3" fillId="3" borderId="92" xfId="0" applyFont="1" applyFill="1" applyBorder="1" applyAlignment="1">
      <alignment horizontal="center" vertical="center" wrapText="1"/>
    </xf>
    <xf numFmtId="0" fontId="10" fillId="3" borderId="92" xfId="0" applyFont="1" applyFill="1" applyBorder="1" applyAlignment="1">
      <alignment horizontal="center" vertical="center" wrapText="1"/>
    </xf>
    <xf numFmtId="0" fontId="3" fillId="3" borderId="89" xfId="0" applyFont="1" applyFill="1" applyBorder="1" applyAlignment="1">
      <alignment horizontal="center" vertical="center" wrapText="1"/>
    </xf>
    <xf numFmtId="0" fontId="10" fillId="3" borderId="89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vertical="center" wrapText="1"/>
    </xf>
    <xf numFmtId="0" fontId="8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21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 vertical="center" wrapText="1"/>
    </xf>
    <xf numFmtId="164" fontId="3" fillId="5" borderId="0" xfId="0" applyNumberFormat="1" applyFont="1" applyFill="1" applyAlignment="1">
      <alignment horizontal="center" vertical="center" wrapText="1"/>
    </xf>
    <xf numFmtId="166" fontId="20" fillId="5" borderId="0" xfId="1" applyNumberFormat="1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0" fillId="7" borderId="74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4" fillId="5" borderId="102" xfId="0" applyFont="1" applyFill="1" applyBorder="1" applyAlignment="1">
      <alignment horizontal="center" vertical="center" wrapText="1"/>
    </xf>
    <xf numFmtId="0" fontId="24" fillId="5" borderId="103" xfId="0" applyFont="1" applyFill="1" applyBorder="1" applyAlignment="1">
      <alignment horizontal="center" vertical="center" wrapText="1"/>
    </xf>
    <xf numFmtId="17" fontId="0" fillId="0" borderId="0" xfId="0" applyNumberFormat="1"/>
    <xf numFmtId="0" fontId="26" fillId="7" borderId="106" xfId="0" applyFont="1" applyFill="1" applyBorder="1" applyAlignment="1">
      <alignment horizontal="center" vertical="center" wrapText="1"/>
    </xf>
    <xf numFmtId="0" fontId="22" fillId="0" borderId="106" xfId="0" applyFont="1" applyBorder="1" applyAlignment="1">
      <alignment horizontal="center" vertical="center" wrapText="1"/>
    </xf>
    <xf numFmtId="49" fontId="22" fillId="0" borderId="106" xfId="0" applyNumberFormat="1" applyFont="1" applyBorder="1" applyAlignment="1">
      <alignment horizontal="center" vertical="center" wrapText="1"/>
    </xf>
    <xf numFmtId="8" fontId="0" fillId="0" borderId="0" xfId="0" applyNumberFormat="1"/>
    <xf numFmtId="2" fontId="0" fillId="0" borderId="0" xfId="0" applyNumberFormat="1"/>
    <xf numFmtId="3" fontId="25" fillId="5" borderId="102" xfId="0" applyNumberFormat="1" applyFont="1" applyFill="1" applyBorder="1" applyAlignment="1">
      <alignment horizontal="center" vertical="center" wrapText="1"/>
    </xf>
    <xf numFmtId="0" fontId="25" fillId="5" borderId="102" xfId="0" applyFont="1" applyFill="1" applyBorder="1" applyAlignment="1">
      <alignment horizontal="center" vertical="center" wrapText="1"/>
    </xf>
    <xf numFmtId="3" fontId="25" fillId="5" borderId="103" xfId="0" applyNumberFormat="1" applyFont="1" applyFill="1" applyBorder="1" applyAlignment="1">
      <alignment horizontal="center" vertical="center" wrapText="1"/>
    </xf>
    <xf numFmtId="3" fontId="23" fillId="7" borderId="95" xfId="0" applyNumberFormat="1" applyFont="1" applyFill="1" applyBorder="1" applyAlignment="1">
      <alignment horizontal="center" vertical="center" wrapText="1"/>
    </xf>
    <xf numFmtId="0" fontId="20" fillId="7" borderId="61" xfId="0" applyFont="1" applyFill="1" applyBorder="1" applyAlignment="1">
      <alignment horizontal="center" vertical="center" wrapText="1"/>
    </xf>
    <xf numFmtId="0" fontId="20" fillId="0" borderId="109" xfId="0" applyFont="1" applyBorder="1" applyAlignment="1">
      <alignment horizontal="center"/>
    </xf>
    <xf numFmtId="0" fontId="25" fillId="12" borderId="99" xfId="0" applyFont="1" applyFill="1" applyBorder="1" applyAlignment="1">
      <alignment horizontal="center" vertical="center" wrapText="1"/>
    </xf>
    <xf numFmtId="0" fontId="25" fillId="12" borderId="100" xfId="0" applyFont="1" applyFill="1" applyBorder="1" applyAlignment="1">
      <alignment horizontal="center" vertical="center" wrapText="1"/>
    </xf>
    <xf numFmtId="0" fontId="25" fillId="12" borderId="101" xfId="0" applyFont="1" applyFill="1" applyBorder="1" applyAlignment="1">
      <alignment horizontal="center" vertical="center" wrapText="1"/>
    </xf>
    <xf numFmtId="164" fontId="21" fillId="0" borderId="107" xfId="0" applyNumberFormat="1" applyFont="1" applyBorder="1" applyAlignment="1">
      <alignment horizontal="center" vertical="center"/>
    </xf>
    <xf numFmtId="0" fontId="21" fillId="0" borderId="108" xfId="0" applyFont="1" applyBorder="1" applyAlignment="1">
      <alignment horizontal="center" vertical="center"/>
    </xf>
    <xf numFmtId="0" fontId="20" fillId="0" borderId="110" xfId="0" applyFont="1" applyBorder="1" applyAlignment="1">
      <alignment horizontal="center"/>
    </xf>
    <xf numFmtId="0" fontId="20" fillId="0" borderId="111" xfId="0" applyFont="1" applyBorder="1" applyAlignment="1">
      <alignment horizontal="center"/>
    </xf>
    <xf numFmtId="0" fontId="22" fillId="0" borderId="40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105" xfId="0" applyFont="1" applyBorder="1" applyAlignment="1">
      <alignment horizontal="center" vertical="center" wrapText="1"/>
    </xf>
    <xf numFmtId="9" fontId="26" fillId="0" borderId="18" xfId="2" applyFont="1" applyBorder="1" applyAlignment="1">
      <alignment horizontal="center" vertical="center" wrapText="1"/>
    </xf>
    <xf numFmtId="9" fontId="26" fillId="0" borderId="30" xfId="2" applyFont="1" applyBorder="1" applyAlignment="1">
      <alignment horizontal="center" vertical="center" wrapText="1"/>
    </xf>
    <xf numFmtId="165" fontId="26" fillId="0" borderId="40" xfId="0" applyNumberFormat="1" applyFont="1" applyBorder="1" applyAlignment="1">
      <alignment horizontal="center" vertical="center" wrapText="1"/>
    </xf>
    <xf numFmtId="165" fontId="26" fillId="0" borderId="41" xfId="0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wrapText="1"/>
    </xf>
    <xf numFmtId="165" fontId="26" fillId="0" borderId="4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0" borderId="27" xfId="0" applyNumberFormat="1" applyFont="1" applyBorder="1" applyAlignment="1">
      <alignment horizontal="center" vertical="center" wrapText="1"/>
    </xf>
    <xf numFmtId="164" fontId="10" fillId="0" borderId="31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top" wrapText="1"/>
    </xf>
    <xf numFmtId="0" fontId="11" fillId="0" borderId="23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165" fontId="10" fillId="5" borderId="22" xfId="0" applyNumberFormat="1" applyFont="1" applyFill="1" applyBorder="1" applyAlignment="1">
      <alignment horizontal="center" vertical="center" wrapText="1"/>
    </xf>
    <xf numFmtId="165" fontId="10" fillId="5" borderId="23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30" xfId="0" applyFont="1" applyFill="1" applyBorder="1" applyAlignment="1">
      <alignment horizontal="center" vertical="center" wrapText="1"/>
    </xf>
    <xf numFmtId="164" fontId="10" fillId="5" borderId="27" xfId="0" applyNumberFormat="1" applyFont="1" applyFill="1" applyBorder="1" applyAlignment="1">
      <alignment horizontal="center" vertical="center" wrapText="1"/>
    </xf>
    <xf numFmtId="164" fontId="10" fillId="5" borderId="31" xfId="0" applyNumberFormat="1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165" fontId="10" fillId="5" borderId="53" xfId="0" applyNumberFormat="1" applyFont="1" applyFill="1" applyBorder="1" applyAlignment="1">
      <alignment vertical="center" wrapText="1"/>
    </xf>
    <xf numFmtId="165" fontId="10" fillId="5" borderId="20" xfId="0" applyNumberFormat="1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30" xfId="0" applyNumberFormat="1" applyFont="1" applyBorder="1" applyAlignment="1">
      <alignment horizontal="center" vertical="center" wrapText="1"/>
    </xf>
    <xf numFmtId="165" fontId="10" fillId="0" borderId="19" xfId="0" applyNumberFormat="1" applyFont="1" applyBorder="1" applyAlignment="1">
      <alignment horizontal="center" vertical="center" wrapText="1"/>
    </xf>
    <xf numFmtId="165" fontId="10" fillId="0" borderId="27" xfId="0" applyNumberFormat="1" applyFont="1" applyBorder="1" applyAlignment="1">
      <alignment horizontal="center" vertical="center" wrapText="1"/>
    </xf>
    <xf numFmtId="165" fontId="10" fillId="0" borderId="31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left" vertical="center" wrapText="1"/>
    </xf>
    <xf numFmtId="165" fontId="3" fillId="0" borderId="30" xfId="0" applyNumberFormat="1" applyFont="1" applyBorder="1" applyAlignment="1">
      <alignment horizontal="left" vertical="center" wrapText="1"/>
    </xf>
    <xf numFmtId="0" fontId="10" fillId="0" borderId="58" xfId="0" applyFont="1" applyBorder="1" applyAlignment="1">
      <alignment horizontal="center" vertical="center" wrapText="1"/>
    </xf>
    <xf numFmtId="165" fontId="10" fillId="0" borderId="29" xfId="1" applyNumberFormat="1" applyFont="1" applyBorder="1" applyAlignment="1">
      <alignment horizontal="center" vertical="center" wrapText="1"/>
    </xf>
    <xf numFmtId="165" fontId="10" fillId="0" borderId="59" xfId="1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165" fontId="26" fillId="0" borderId="19" xfId="0" applyNumberFormat="1" applyFont="1" applyBorder="1" applyAlignment="1">
      <alignment horizontal="center" vertical="center" wrapText="1"/>
    </xf>
    <xf numFmtId="165" fontId="26" fillId="0" borderId="31" xfId="0" applyNumberFormat="1" applyFont="1" applyBorder="1" applyAlignment="1">
      <alignment horizontal="center" vertical="center" wrapText="1"/>
    </xf>
    <xf numFmtId="165" fontId="10" fillId="0" borderId="22" xfId="0" applyNumberFormat="1" applyFont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165" fontId="26" fillId="0" borderId="18" xfId="0" applyNumberFormat="1" applyFont="1" applyBorder="1" applyAlignment="1">
      <alignment horizontal="center" vertical="center" wrapText="1"/>
    </xf>
    <xf numFmtId="165" fontId="26" fillId="0" borderId="30" xfId="0" applyNumberFormat="1" applyFont="1" applyBorder="1" applyAlignment="1">
      <alignment horizontal="center" vertical="center" wrapText="1"/>
    </xf>
    <xf numFmtId="0" fontId="20" fillId="7" borderId="40" xfId="0" applyFont="1" applyFill="1" applyBorder="1" applyAlignment="1">
      <alignment horizontal="center" vertical="center" wrapText="1"/>
    </xf>
    <xf numFmtId="0" fontId="20" fillId="7" borderId="41" xfId="0" applyFont="1" applyFill="1" applyBorder="1" applyAlignment="1">
      <alignment horizontal="center" vertical="center" wrapText="1"/>
    </xf>
    <xf numFmtId="0" fontId="20" fillId="7" borderId="34" xfId="0" applyFont="1" applyFill="1" applyBorder="1" applyAlignment="1">
      <alignment horizontal="center" vertical="center" wrapText="1"/>
    </xf>
    <xf numFmtId="0" fontId="20" fillId="7" borderId="61" xfId="0" applyFont="1" applyFill="1" applyBorder="1" applyAlignment="1">
      <alignment horizontal="center" vertical="center" wrapText="1"/>
    </xf>
    <xf numFmtId="165" fontId="21" fillId="0" borderId="34" xfId="0" applyNumberFormat="1" applyFont="1" applyBorder="1" applyAlignment="1">
      <alignment horizontal="center" vertical="center"/>
    </xf>
    <xf numFmtId="165" fontId="21" fillId="0" borderId="61" xfId="0" applyNumberFormat="1" applyFont="1" applyBorder="1" applyAlignment="1">
      <alignment horizontal="center" vertical="center"/>
    </xf>
    <xf numFmtId="165" fontId="21" fillId="0" borderId="21" xfId="0" applyNumberFormat="1" applyFont="1" applyBorder="1" applyAlignment="1">
      <alignment horizontal="center" vertical="center"/>
    </xf>
    <xf numFmtId="165" fontId="21" fillId="0" borderId="104" xfId="0" applyNumberFormat="1" applyFont="1" applyBorder="1" applyAlignment="1">
      <alignment horizontal="center" vertical="center"/>
    </xf>
    <xf numFmtId="164" fontId="21" fillId="0" borderId="3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0" fillId="7" borderId="80" xfId="0" applyFont="1" applyFill="1" applyBorder="1" applyAlignment="1">
      <alignment horizontal="center"/>
    </xf>
    <xf numFmtId="0" fontId="20" fillId="7" borderId="68" xfId="0" applyFont="1" applyFill="1" applyBorder="1" applyAlignment="1">
      <alignment horizontal="center"/>
    </xf>
    <xf numFmtId="0" fontId="20" fillId="7" borderId="81" xfId="0" applyFont="1" applyFill="1" applyBorder="1" applyAlignment="1">
      <alignment horizontal="center"/>
    </xf>
    <xf numFmtId="0" fontId="20" fillId="7" borderId="7" xfId="0" applyFont="1" applyFill="1" applyBorder="1" applyAlignment="1">
      <alignment horizontal="center" vertical="center" wrapText="1"/>
    </xf>
    <xf numFmtId="0" fontId="21" fillId="0" borderId="74" xfId="0" applyFont="1" applyBorder="1" applyAlignment="1">
      <alignment horizontal="left"/>
    </xf>
    <xf numFmtId="0" fontId="21" fillId="0" borderId="73" xfId="0" applyFont="1" applyBorder="1" applyAlignment="1">
      <alignment horizontal="left"/>
    </xf>
    <xf numFmtId="0" fontId="21" fillId="0" borderId="75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21" fillId="0" borderId="78" xfId="0" applyFont="1" applyBorder="1" applyAlignment="1">
      <alignment horizontal="left"/>
    </xf>
    <xf numFmtId="0" fontId="21" fillId="0" borderId="67" xfId="0" applyFont="1" applyBorder="1" applyAlignment="1">
      <alignment horizontal="left"/>
    </xf>
    <xf numFmtId="0" fontId="21" fillId="0" borderId="75" xfId="0" applyFont="1" applyBorder="1" applyAlignment="1">
      <alignment horizontal="center"/>
    </xf>
    <xf numFmtId="0" fontId="21" fillId="0" borderId="77" xfId="0" applyFont="1" applyBorder="1" applyAlignment="1">
      <alignment horizontal="center"/>
    </xf>
    <xf numFmtId="0" fontId="21" fillId="0" borderId="78" xfId="0" applyFont="1" applyBorder="1" applyAlignment="1">
      <alignment horizontal="center"/>
    </xf>
    <xf numFmtId="0" fontId="21" fillId="0" borderId="79" xfId="0" applyFont="1" applyBorder="1" applyAlignment="1">
      <alignment horizontal="center"/>
    </xf>
    <xf numFmtId="0" fontId="21" fillId="0" borderId="77" xfId="0" applyFont="1" applyBorder="1" applyAlignment="1">
      <alignment horizontal="left"/>
    </xf>
    <xf numFmtId="0" fontId="21" fillId="0" borderId="79" xfId="0" applyFont="1" applyBorder="1" applyAlignment="1">
      <alignment horizontal="left"/>
    </xf>
    <xf numFmtId="0" fontId="0" fillId="0" borderId="80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81" xfId="0" applyBorder="1" applyAlignment="1">
      <alignment horizontal="center"/>
    </xf>
    <xf numFmtId="0" fontId="20" fillId="7" borderId="82" xfId="0" applyFont="1" applyFill="1" applyBorder="1" applyAlignment="1">
      <alignment horizontal="center" wrapText="1"/>
    </xf>
    <xf numFmtId="0" fontId="20" fillId="7" borderId="84" xfId="0" applyFont="1" applyFill="1" applyBorder="1" applyAlignment="1">
      <alignment horizontal="center" wrapText="1"/>
    </xf>
    <xf numFmtId="0" fontId="21" fillId="0" borderId="74" xfId="0" applyFont="1" applyBorder="1" applyAlignment="1">
      <alignment horizontal="center"/>
    </xf>
    <xf numFmtId="0" fontId="21" fillId="0" borderId="76" xfId="0" applyFont="1" applyBorder="1" applyAlignment="1">
      <alignment horizontal="center"/>
    </xf>
    <xf numFmtId="0" fontId="20" fillId="7" borderId="82" xfId="0" applyFont="1" applyFill="1" applyBorder="1" applyAlignment="1">
      <alignment horizontal="center" vertical="center" wrapText="1"/>
    </xf>
    <xf numFmtId="0" fontId="20" fillId="7" borderId="84" xfId="0" applyFont="1" applyFill="1" applyBorder="1" applyAlignment="1">
      <alignment horizontal="center" vertical="center" wrapText="1"/>
    </xf>
    <xf numFmtId="0" fontId="20" fillId="7" borderId="83" xfId="0" applyFont="1" applyFill="1" applyBorder="1" applyAlignment="1">
      <alignment horizontal="center" vertical="center" wrapText="1"/>
    </xf>
    <xf numFmtId="0" fontId="21" fillId="0" borderId="76" xfId="0" applyFont="1" applyBorder="1" applyAlignment="1">
      <alignment horizontal="left"/>
    </xf>
    <xf numFmtId="0" fontId="4" fillId="0" borderId="86" xfId="0" applyFont="1" applyBorder="1" applyAlignment="1">
      <alignment horizontal="center" vertical="center" wrapText="1"/>
    </xf>
    <xf numFmtId="0" fontId="4" fillId="0" borderId="93" xfId="0" applyFont="1" applyBorder="1" applyAlignment="1">
      <alignment horizontal="center" vertical="center" wrapText="1"/>
    </xf>
    <xf numFmtId="0" fontId="4" fillId="0" borderId="90" xfId="0" applyFont="1" applyBorder="1" applyAlignment="1">
      <alignment horizontal="center" vertical="center" wrapText="1"/>
    </xf>
    <xf numFmtId="0" fontId="3" fillId="0" borderId="88" xfId="0" applyFont="1" applyBorder="1" applyAlignment="1">
      <alignment horizontal="center" vertical="center" wrapText="1"/>
    </xf>
    <xf numFmtId="0" fontId="3" fillId="0" borderId="90" xfId="0" applyFont="1" applyBorder="1" applyAlignment="1">
      <alignment horizontal="center" vertical="center" wrapText="1"/>
    </xf>
    <xf numFmtId="0" fontId="10" fillId="0" borderId="88" xfId="0" applyFont="1" applyBorder="1" applyAlignment="1">
      <alignment horizontal="center" vertical="center" wrapText="1"/>
    </xf>
    <xf numFmtId="0" fontId="10" fillId="0" borderId="90" xfId="0" applyFont="1" applyBorder="1" applyAlignment="1">
      <alignment horizontal="center" vertical="center" wrapText="1"/>
    </xf>
    <xf numFmtId="164" fontId="3" fillId="3" borderId="86" xfId="0" applyNumberFormat="1" applyFont="1" applyFill="1" applyBorder="1" applyAlignment="1">
      <alignment horizontal="center" vertical="center" wrapText="1"/>
    </xf>
    <xf numFmtId="164" fontId="3" fillId="3" borderId="90" xfId="0" applyNumberFormat="1" applyFont="1" applyFill="1" applyBorder="1" applyAlignment="1">
      <alignment horizontal="center" vertical="center" wrapText="1"/>
    </xf>
    <xf numFmtId="0" fontId="10" fillId="3" borderId="86" xfId="0" applyFont="1" applyFill="1" applyBorder="1" applyAlignment="1">
      <alignment horizontal="center" vertical="center" wrapText="1"/>
    </xf>
    <xf numFmtId="0" fontId="10" fillId="3" borderId="90" xfId="0" applyFont="1" applyFill="1" applyBorder="1" applyAlignment="1">
      <alignment horizontal="center" vertical="center" wrapText="1"/>
    </xf>
    <xf numFmtId="0" fontId="3" fillId="0" borderId="86" xfId="0" applyFont="1" applyBorder="1" applyAlignment="1">
      <alignment horizontal="center" vertical="center" wrapText="1"/>
    </xf>
    <xf numFmtId="0" fontId="10" fillId="0" borderId="86" xfId="0" applyFont="1" applyBorder="1" applyAlignment="1">
      <alignment horizontal="center" vertical="center" wrapText="1"/>
    </xf>
    <xf numFmtId="0" fontId="3" fillId="3" borderId="86" xfId="0" applyFont="1" applyFill="1" applyBorder="1" applyAlignment="1">
      <alignment horizontal="center" vertical="center" wrapText="1"/>
    </xf>
    <xf numFmtId="0" fontId="3" fillId="3" borderId="87" xfId="0" applyFont="1" applyFill="1" applyBorder="1" applyAlignment="1">
      <alignment horizontal="center" vertical="center" wrapText="1"/>
    </xf>
    <xf numFmtId="0" fontId="10" fillId="3" borderId="87" xfId="0" applyFont="1" applyFill="1" applyBorder="1" applyAlignment="1">
      <alignment horizontal="center" vertical="center" wrapText="1"/>
    </xf>
    <xf numFmtId="0" fontId="20" fillId="7" borderId="74" xfId="0" applyFont="1" applyFill="1" applyBorder="1" applyAlignment="1">
      <alignment horizontal="center"/>
    </xf>
    <xf numFmtId="0" fontId="20" fillId="7" borderId="76" xfId="0" applyFont="1" applyFill="1" applyBorder="1" applyAlignment="1">
      <alignment horizontal="center"/>
    </xf>
    <xf numFmtId="0" fontId="20" fillId="0" borderId="74" xfId="0" applyFont="1" applyBorder="1" applyAlignment="1">
      <alignment horizontal="right"/>
    </xf>
    <xf numFmtId="0" fontId="20" fillId="0" borderId="73" xfId="0" applyFont="1" applyBorder="1" applyAlignment="1">
      <alignment horizontal="right"/>
    </xf>
    <xf numFmtId="0" fontId="20" fillId="0" borderId="78" xfId="0" applyFont="1" applyBorder="1" applyAlignment="1">
      <alignment horizontal="right"/>
    </xf>
    <xf numFmtId="0" fontId="20" fillId="0" borderId="67" xfId="0" applyFont="1" applyBorder="1" applyAlignment="1">
      <alignment horizontal="right"/>
    </xf>
    <xf numFmtId="0" fontId="20" fillId="7" borderId="78" xfId="0" applyFont="1" applyFill="1" applyBorder="1" applyAlignment="1">
      <alignment horizontal="center"/>
    </xf>
    <xf numFmtId="0" fontId="20" fillId="7" borderId="79" xfId="0" applyFont="1" applyFill="1" applyBorder="1" applyAlignment="1">
      <alignment horizontal="center"/>
    </xf>
    <xf numFmtId="0" fontId="20" fillId="0" borderId="80" xfId="0" applyFont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20" fillId="0" borderId="81" xfId="0" applyFont="1" applyBorder="1" applyAlignment="1">
      <alignment horizontal="center" vertical="center" wrapText="1"/>
    </xf>
    <xf numFmtId="0" fontId="20" fillId="0" borderId="74" xfId="0" applyFont="1" applyBorder="1" applyAlignment="1">
      <alignment horizontal="center" vertical="center" wrapText="1"/>
    </xf>
    <xf numFmtId="0" fontId="20" fillId="0" borderId="73" xfId="0" applyFont="1" applyBorder="1" applyAlignment="1">
      <alignment horizontal="center" vertical="center" wrapText="1"/>
    </xf>
    <xf numFmtId="0" fontId="20" fillId="0" borderId="76" xfId="0" applyFont="1" applyBorder="1" applyAlignment="1">
      <alignment horizontal="center" vertical="center" wrapText="1"/>
    </xf>
    <xf numFmtId="0" fontId="20" fillId="7" borderId="74" xfId="0" applyFont="1" applyFill="1" applyBorder="1" applyAlignment="1">
      <alignment horizontal="center" vertical="center" wrapText="1"/>
    </xf>
    <xf numFmtId="0" fontId="20" fillId="7" borderId="78" xfId="0" applyFont="1" applyFill="1" applyBorder="1" applyAlignment="1">
      <alignment horizontal="center" vertical="center" wrapText="1"/>
    </xf>
    <xf numFmtId="0" fontId="21" fillId="0" borderId="73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67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2" fillId="0" borderId="75" xfId="0" applyFont="1" applyBorder="1" applyAlignment="1">
      <alignment horizontal="center" vertical="center"/>
    </xf>
    <xf numFmtId="0" fontId="22" fillId="0" borderId="78" xfId="0" applyFont="1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0" fillId="7" borderId="75" xfId="0" applyFont="1" applyFill="1" applyBorder="1" applyAlignment="1">
      <alignment horizontal="center" vertical="center" wrapText="1"/>
    </xf>
    <xf numFmtId="0" fontId="20" fillId="0" borderId="80" xfId="0" applyFont="1" applyBorder="1" applyAlignment="1">
      <alignment horizontal="right"/>
    </xf>
    <xf numFmtId="0" fontId="20" fillId="0" borderId="68" xfId="0" applyFont="1" applyBorder="1" applyAlignment="1">
      <alignment horizontal="right"/>
    </xf>
    <xf numFmtId="0" fontId="20" fillId="7" borderId="80" xfId="0" applyFont="1" applyFill="1" applyBorder="1" applyAlignment="1">
      <alignment horizontal="center" vertical="center"/>
    </xf>
    <xf numFmtId="0" fontId="20" fillId="7" borderId="68" xfId="0" applyFont="1" applyFill="1" applyBorder="1" applyAlignment="1">
      <alignment horizontal="center" vertical="center"/>
    </xf>
    <xf numFmtId="0" fontId="20" fillId="7" borderId="81" xfId="0" applyFont="1" applyFill="1" applyBorder="1" applyAlignment="1">
      <alignment horizontal="center" vertical="center"/>
    </xf>
    <xf numFmtId="0" fontId="22" fillId="0" borderId="82" xfId="0" applyFont="1" applyBorder="1" applyAlignment="1">
      <alignment horizontal="center" vertical="center"/>
    </xf>
    <xf numFmtId="0" fontId="22" fillId="0" borderId="84" xfId="0" applyFont="1" applyBorder="1" applyAlignment="1">
      <alignment horizontal="center" vertical="center"/>
    </xf>
    <xf numFmtId="0" fontId="22" fillId="0" borderId="83" xfId="0" applyFont="1" applyBorder="1" applyAlignment="1">
      <alignment horizontal="center" vertical="center"/>
    </xf>
    <xf numFmtId="0" fontId="20" fillId="7" borderId="82" xfId="0" applyFont="1" applyFill="1" applyBorder="1" applyAlignment="1">
      <alignment horizontal="center" vertical="center"/>
    </xf>
    <xf numFmtId="0" fontId="20" fillId="7" borderId="83" xfId="0" applyFont="1" applyFill="1" applyBorder="1" applyAlignment="1">
      <alignment horizontal="center" vertical="center"/>
    </xf>
    <xf numFmtId="0" fontId="22" fillId="0" borderId="74" xfId="0" applyFont="1" applyBorder="1" applyAlignment="1">
      <alignment horizontal="center" vertical="center" wrapText="1"/>
    </xf>
    <xf numFmtId="0" fontId="22" fillId="0" borderId="78" xfId="0" applyFont="1" applyBorder="1" applyAlignment="1">
      <alignment horizontal="center" vertical="center" wrapText="1"/>
    </xf>
    <xf numFmtId="166" fontId="21" fillId="0" borderId="76" xfId="1" applyNumberFormat="1" applyFont="1" applyBorder="1" applyAlignment="1">
      <alignment horizontal="center" vertical="center"/>
    </xf>
    <xf numFmtId="166" fontId="21" fillId="0" borderId="79" xfId="1" applyNumberFormat="1" applyFont="1" applyBorder="1" applyAlignment="1">
      <alignment horizontal="center" vertical="center"/>
    </xf>
    <xf numFmtId="0" fontId="20" fillId="0" borderId="76" xfId="0" applyFont="1" applyBorder="1" applyAlignment="1">
      <alignment horizontal="right"/>
    </xf>
    <xf numFmtId="0" fontId="20" fillId="0" borderId="79" xfId="0" applyFont="1" applyBorder="1" applyAlignment="1">
      <alignment horizontal="right"/>
    </xf>
    <xf numFmtId="0" fontId="20" fillId="0" borderId="80" xfId="0" applyFont="1" applyBorder="1" applyAlignment="1">
      <alignment horizontal="center"/>
    </xf>
    <xf numFmtId="0" fontId="20" fillId="0" borderId="68" xfId="0" applyFont="1" applyBorder="1" applyAlignment="1">
      <alignment horizontal="center"/>
    </xf>
    <xf numFmtId="166" fontId="22" fillId="0" borderId="84" xfId="0" applyNumberFormat="1" applyFont="1" applyBorder="1" applyAlignment="1">
      <alignment horizontal="center" vertical="center"/>
    </xf>
    <xf numFmtId="166" fontId="22" fillId="0" borderId="83" xfId="0" applyNumberFormat="1" applyFont="1" applyBorder="1" applyAlignment="1">
      <alignment horizontal="center" vertical="center"/>
    </xf>
    <xf numFmtId="166" fontId="22" fillId="0" borderId="76" xfId="1" applyNumberFormat="1" applyFont="1" applyBorder="1" applyAlignment="1">
      <alignment horizontal="center" vertical="center"/>
    </xf>
    <xf numFmtId="166" fontId="22" fillId="0" borderId="79" xfId="1" applyNumberFormat="1" applyFont="1" applyBorder="1" applyAlignment="1">
      <alignment horizontal="center" vertical="center"/>
    </xf>
    <xf numFmtId="0" fontId="21" fillId="0" borderId="74" xfId="0" applyFont="1" applyBorder="1" applyAlignment="1">
      <alignment horizontal="center" vertical="center"/>
    </xf>
    <xf numFmtId="0" fontId="21" fillId="0" borderId="78" xfId="0" applyFont="1" applyBorder="1" applyAlignment="1">
      <alignment horizontal="center" vertical="center"/>
    </xf>
    <xf numFmtId="9" fontId="22" fillId="0" borderId="74" xfId="0" applyNumberFormat="1" applyFont="1" applyBorder="1" applyAlignment="1">
      <alignment horizontal="center" vertical="center" wrapText="1"/>
    </xf>
    <xf numFmtId="164" fontId="22" fillId="0" borderId="73" xfId="0" applyNumberFormat="1" applyFont="1" applyBorder="1" applyAlignment="1">
      <alignment horizontal="center" vertical="center"/>
    </xf>
    <xf numFmtId="164" fontId="22" fillId="0" borderId="67" xfId="0" applyNumberFormat="1" applyFont="1" applyBorder="1" applyAlignment="1">
      <alignment horizontal="center" vertical="center"/>
    </xf>
    <xf numFmtId="165" fontId="21" fillId="0" borderId="40" xfId="0" applyNumberFormat="1" applyFont="1" applyBorder="1" applyAlignment="1">
      <alignment horizontal="center" vertical="center"/>
    </xf>
    <xf numFmtId="165" fontId="21" fillId="0" borderId="41" xfId="0" applyNumberFormat="1" applyFont="1" applyBorder="1" applyAlignment="1">
      <alignment horizontal="center" vertical="center"/>
    </xf>
    <xf numFmtId="0" fontId="20" fillId="5" borderId="80" xfId="0" applyFont="1" applyFill="1" applyBorder="1" applyAlignment="1">
      <alignment horizontal="center"/>
    </xf>
    <xf numFmtId="0" fontId="20" fillId="5" borderId="81" xfId="0" applyFont="1" applyFill="1" applyBorder="1" applyAlignment="1">
      <alignment horizontal="center"/>
    </xf>
    <xf numFmtId="0" fontId="20" fillId="7" borderId="76" xfId="0" applyFont="1" applyFill="1" applyBorder="1" applyAlignment="1">
      <alignment horizontal="center" vertical="center" wrapText="1"/>
    </xf>
    <xf numFmtId="0" fontId="20" fillId="7" borderId="80" xfId="0" applyFont="1" applyFill="1" applyBorder="1" applyAlignment="1">
      <alignment horizontal="center" vertical="center" wrapText="1"/>
    </xf>
    <xf numFmtId="0" fontId="20" fillId="7" borderId="81" xfId="0" applyFont="1" applyFill="1" applyBorder="1" applyAlignment="1">
      <alignment horizontal="center" vertical="center" wrapText="1"/>
    </xf>
    <xf numFmtId="0" fontId="21" fillId="0" borderId="80" xfId="0" applyFont="1" applyBorder="1" applyAlignment="1">
      <alignment horizontal="center"/>
    </xf>
    <xf numFmtId="0" fontId="21" fillId="0" borderId="81" xfId="0" applyFont="1" applyBorder="1" applyAlignment="1">
      <alignment horizontal="center"/>
    </xf>
    <xf numFmtId="0" fontId="21" fillId="0" borderId="68" xfId="0" applyFont="1" applyBorder="1" applyAlignment="1">
      <alignment horizontal="center"/>
    </xf>
    <xf numFmtId="0" fontId="21" fillId="0" borderId="74" xfId="0" applyFont="1" applyBorder="1" applyAlignment="1">
      <alignment horizontal="left" vertical="center" wrapText="1"/>
    </xf>
    <xf numFmtId="0" fontId="21" fillId="0" borderId="73" xfId="0" applyFont="1" applyBorder="1" applyAlignment="1">
      <alignment horizontal="left" vertical="center" wrapText="1"/>
    </xf>
    <xf numFmtId="0" fontId="21" fillId="0" borderId="75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74" xfId="0" applyFont="1" applyBorder="1" applyAlignment="1">
      <alignment horizontal="center" vertical="center" wrapText="1"/>
    </xf>
    <xf numFmtId="0" fontId="21" fillId="0" borderId="78" xfId="0" applyFont="1" applyBorder="1" applyAlignment="1">
      <alignment horizontal="center" vertical="center" wrapText="1"/>
    </xf>
    <xf numFmtId="164" fontId="22" fillId="0" borderId="82" xfId="0" applyNumberFormat="1" applyFont="1" applyBorder="1" applyAlignment="1">
      <alignment horizontal="center" vertical="center"/>
    </xf>
    <xf numFmtId="164" fontId="22" fillId="0" borderId="83" xfId="0" applyNumberFormat="1" applyFont="1" applyBorder="1" applyAlignment="1">
      <alignment horizontal="center" vertical="center"/>
    </xf>
    <xf numFmtId="2" fontId="22" fillId="0" borderId="61" xfId="1" applyNumberFormat="1" applyFont="1" applyBorder="1" applyAlignment="1">
      <alignment horizontal="center" vertical="center" wrapText="1"/>
    </xf>
    <xf numFmtId="2" fontId="22" fillId="0" borderId="60" xfId="1" applyNumberFormat="1" applyFont="1" applyBorder="1" applyAlignment="1">
      <alignment horizontal="center" vertical="center" wrapText="1"/>
    </xf>
    <xf numFmtId="2" fontId="22" fillId="0" borderId="28" xfId="0" applyNumberFormat="1" applyFont="1" applyBorder="1" applyAlignment="1">
      <alignment horizontal="center" vertical="center" wrapText="1"/>
    </xf>
    <xf numFmtId="2" fontId="22" fillId="0" borderId="58" xfId="0" applyNumberFormat="1" applyFont="1" applyBorder="1" applyAlignment="1">
      <alignment horizontal="center" vertical="center" wrapText="1"/>
    </xf>
    <xf numFmtId="2" fontId="22" fillId="0" borderId="36" xfId="0" applyNumberFormat="1" applyFont="1" applyBorder="1" applyAlignment="1">
      <alignment horizontal="center" vertical="center" wrapText="1"/>
    </xf>
    <xf numFmtId="2" fontId="22" fillId="0" borderId="35" xfId="0" applyNumberFormat="1" applyFont="1" applyBorder="1" applyAlignment="1">
      <alignment horizontal="center" vertical="center" wrapText="1"/>
    </xf>
    <xf numFmtId="2" fontId="26" fillId="0" borderId="36" xfId="0" applyNumberFormat="1" applyFont="1" applyBorder="1" applyAlignment="1">
      <alignment horizontal="center" vertical="center" wrapText="1"/>
    </xf>
    <xf numFmtId="2" fontId="26" fillId="0" borderId="35" xfId="0" applyNumberFormat="1" applyFont="1" applyBorder="1" applyAlignment="1">
      <alignment horizontal="center" vertical="center" wrapText="1"/>
    </xf>
    <xf numFmtId="2" fontId="2" fillId="0" borderId="83" xfId="0" applyNumberFormat="1" applyFont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742950</xdr:colOff>
      <xdr:row>27</xdr:row>
      <xdr:rowOff>0</xdr:rowOff>
    </xdr:from>
    <xdr:to>
      <xdr:col>18</xdr:col>
      <xdr:colOff>1203678</xdr:colOff>
      <xdr:row>63</xdr:row>
      <xdr:rowOff>58562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F3938B4-8470-F145-0A8C-3A5A5FAA4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0" y="4718050"/>
          <a:ext cx="6629400" cy="662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247650</xdr:colOff>
      <xdr:row>88</xdr:row>
      <xdr:rowOff>0</xdr:rowOff>
    </xdr:from>
    <xdr:to>
      <xdr:col>18</xdr:col>
      <xdr:colOff>1470378</xdr:colOff>
      <xdr:row>104</xdr:row>
      <xdr:rowOff>164395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502115-C921-6662-53B1-B6FA9DF50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00" y="16465550"/>
          <a:ext cx="6629400" cy="280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12700</xdr:colOff>
      <xdr:row>130</xdr:row>
      <xdr:rowOff>139700</xdr:rowOff>
    </xdr:from>
    <xdr:to>
      <xdr:col>6</xdr:col>
      <xdr:colOff>847372</xdr:colOff>
      <xdr:row>158</xdr:row>
      <xdr:rowOff>61383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912CD7-5FC3-BB1F-EAAC-8EB6DDC0D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33585150"/>
          <a:ext cx="5924550" cy="516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263</xdr:row>
      <xdr:rowOff>0</xdr:rowOff>
    </xdr:from>
    <xdr:to>
      <xdr:col>18</xdr:col>
      <xdr:colOff>1171928</xdr:colOff>
      <xdr:row>272</xdr:row>
      <xdr:rowOff>57150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DC5F5E-1AB3-1FD4-417F-FE73D4C74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0" y="55416450"/>
          <a:ext cx="5403850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285</xdr:row>
          <xdr:rowOff>0</xdr:rowOff>
        </xdr:from>
        <xdr:to>
          <xdr:col>17</xdr:col>
          <xdr:colOff>1262945</xdr:colOff>
          <xdr:row>293</xdr:row>
          <xdr:rowOff>127001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DCB4D9CD-4097-E031-AE1A-F3D68F2BB6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W$14:$Y$22" spid="_x0000_s16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6975667" y="56973611"/>
              <a:ext cx="5002389" cy="159455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oneCellAnchor>
    <xdr:from>
      <xdr:col>8</xdr:col>
      <xdr:colOff>451784</xdr:colOff>
      <xdr:row>17</xdr:row>
      <xdr:rowOff>134493</xdr:rowOff>
    </xdr:from>
    <xdr:ext cx="5194179" cy="338106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2FC0AF2-04F2-9362-F725-4E7714007CA6}"/>
                </a:ext>
              </a:extLst>
            </xdr:cNvPr>
            <xdr:cNvSpPr txBox="1"/>
          </xdr:nvSpPr>
          <xdr:spPr>
            <a:xfrm>
              <a:off x="11126840" y="3944493"/>
              <a:ext cx="5194179" cy="3381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419" sz="1400" i="1"/>
                <a:t>VAN</a:t>
              </a:r>
              <a:r>
                <a:rPr lang="es-419" sz="1400" baseline="0"/>
                <a:t> </a:t>
              </a:r>
              <a14:m>
                <m:oMath xmlns:m="http://schemas.openxmlformats.org/officeDocument/2006/math">
                  <m:r>
                    <a:rPr lang="es-419" sz="1400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ctrlPr>
                        <a:rPr lang="es-CO" sz="14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es-CO" sz="1400" b="0" i="1">
                          <a:latin typeface="Cambria Math" panose="02040503050406030204" pitchFamily="18" charset="0"/>
                        </a:rPr>
                        <m:t>−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𝐼𝑛𝑣𝑒𝑟𝑠𝑖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ó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𝑛</m:t>
                      </m:r>
                    </m:e>
                  </m:d>
                  <m:r>
                    <a:rPr lang="es-CO" sz="1400" b="0" i="1">
                      <a:latin typeface="Cambria Math" panose="02040503050406030204" pitchFamily="18" charset="0"/>
                    </a:rPr>
                    <m:t>+ </m:t>
                  </m:r>
                  <m:f>
                    <m:fPr>
                      <m:ctrlPr>
                        <a:rPr lang="es-CO" sz="14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𝐼𝑛𝑔𝑟𝑒𝑠𝑜𝑠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𝐴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ñ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𝑜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 1</m:t>
                      </m:r>
                    </m:num>
                    <m:den>
                      <m:r>
                        <a:rPr lang="es-CO" sz="1400" b="0" i="1">
                          <a:latin typeface="Cambria Math" panose="02040503050406030204" pitchFamily="18" charset="0"/>
                        </a:rPr>
                        <m:t>(1+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𝑘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)</m:t>
                      </m:r>
                    </m:den>
                  </m:f>
                  <m:r>
                    <a:rPr lang="es-CO" sz="1400" b="0" i="0">
                      <a:latin typeface="Cambria Math" panose="02040503050406030204" pitchFamily="18" charset="0"/>
                    </a:rPr>
                    <m:t>+ </m:t>
                  </m:r>
                  <m:f>
                    <m:fPr>
                      <m:ctrlPr>
                        <a:rPr lang="es-CO" sz="14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𝐼𝑛𝑔𝑟𝑒𝑠𝑜𝑠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𝐴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ñ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𝑜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 2</m:t>
                      </m:r>
                    </m:num>
                    <m:den>
                      <m:sSup>
                        <m:sSupPr>
                          <m:ctrlPr>
                            <a:rPr lang="es-CO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es-CO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(1+</m:t>
                          </m:r>
                          <m:r>
                            <a:rPr lang="es-CO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𝑘</m:t>
                          </m:r>
                          <m:r>
                            <a:rPr lang="es-CO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)</m:t>
                          </m:r>
                        </m:e>
                        <m:sup>
                          <m:r>
                            <a:rPr lang="es-CO" sz="14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p>
                    </m:den>
                  </m:f>
                  <m:r>
                    <a:rPr lang="es-CO" sz="1400" b="0" i="0">
                      <a:latin typeface="Cambria Math" panose="02040503050406030204" pitchFamily="18" charset="0"/>
                    </a:rPr>
                    <m:t>+ </m:t>
                  </m:r>
                  <m:f>
                    <m:fPr>
                      <m:ctrlPr>
                        <a:rPr lang="es-CO" sz="1400" b="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𝐼𝑛𝑔𝑟𝑒𝑠𝑜𝑠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𝐴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ñ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𝑜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CO" sz="1400" b="0" i="1">
                          <a:latin typeface="Cambria Math" panose="02040503050406030204" pitchFamily="18" charset="0"/>
                        </a:rPr>
                        <m:t>𝑛</m:t>
                      </m:r>
                    </m:num>
                    <m:den>
                      <m:sSup>
                        <m:sSupPr>
                          <m:ctrlPr>
                            <a:rPr lang="es-CO" sz="1100" b="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es-CO" sz="1100" b="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(1+</m:t>
                          </m:r>
                          <m:r>
                            <a:rPr lang="es-CO" sz="1100" b="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𝑘</m:t>
                          </m:r>
                          <m:r>
                            <a:rPr lang="es-CO" sz="1100" b="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)</m:t>
                          </m:r>
                        </m:e>
                        <m:sup>
                          <m:r>
                            <a:rPr lang="es-CO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𝑛</m:t>
                          </m:r>
                        </m:sup>
                      </m:sSup>
                    </m:den>
                  </m:f>
                </m:oMath>
              </a14:m>
              <a:endParaRPr lang="es-419" sz="1400"/>
            </a:p>
          </xdr:txBody>
        </xdr:sp>
      </mc:Choice>
      <mc:Fallback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2FC0AF2-04F2-9362-F725-4E7714007CA6}"/>
                </a:ext>
              </a:extLst>
            </xdr:cNvPr>
            <xdr:cNvSpPr txBox="1"/>
          </xdr:nvSpPr>
          <xdr:spPr>
            <a:xfrm>
              <a:off x="11126840" y="3944493"/>
              <a:ext cx="5194179" cy="3381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419" sz="1400" i="1"/>
                <a:t>VAN</a:t>
              </a:r>
              <a:r>
                <a:rPr lang="es-419" sz="1400" baseline="0"/>
                <a:t> </a:t>
              </a:r>
              <a:r>
                <a:rPr lang="es-419" sz="1400" i="0">
                  <a:latin typeface="Cambria Math" panose="02040503050406030204" pitchFamily="18" charset="0"/>
                </a:rPr>
                <a:t>=</a:t>
              </a:r>
              <a:r>
                <a:rPr lang="es-CO" sz="1400" b="0" i="0">
                  <a:latin typeface="Cambria Math" panose="02040503050406030204" pitchFamily="18" charset="0"/>
                </a:rPr>
                <a:t>(−𝐼𝑛𝑣𝑒𝑟𝑠𝑖ó𝑛)+  (𝐼𝑛𝑔𝑟𝑒𝑠𝑜𝑠 𝐴ñ𝑜 1)/((1+𝑘))+  (𝐼𝑛𝑔𝑟𝑒𝑠𝑜𝑠 𝐴ñ𝑜 2)/</a:t>
              </a:r>
              <a:r>
                <a:rPr lang="es-CO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〖(1+𝑘)〗^2 </a:t>
              </a:r>
              <a:r>
                <a:rPr lang="es-CO" sz="1400" b="0" i="0">
                  <a:latin typeface="Cambria Math" panose="02040503050406030204" pitchFamily="18" charset="0"/>
                </a:rPr>
                <a:t>+  (𝐼𝑛𝑔𝑟𝑒𝑠𝑜𝑠 𝐴ñ𝑜 𝑛)/</a:t>
              </a:r>
              <a:r>
                <a:rPr lang="es-CO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〖(1+𝑘)〗^</a:t>
              </a:r>
              <a:r>
                <a:rPr lang="es-CO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𝑛</a:t>
              </a:r>
              <a:r>
                <a:rPr lang="es-CO" sz="14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s-419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95B23-1BF7-433F-84CA-CA3477AAFA56}">
  <sheetPr>
    <pageSetUpPr fitToPage="1"/>
  </sheetPr>
  <dimension ref="D3:Y398"/>
  <sheetViews>
    <sheetView tabSelected="1" topLeftCell="F105" zoomScale="90" zoomScaleNormal="90" workbookViewId="0">
      <selection activeCell="W124" sqref="W124"/>
    </sheetView>
  </sheetViews>
  <sheetFormatPr baseColWidth="10" defaultRowHeight="14.5"/>
  <cols>
    <col min="4" max="4" width="31.36328125" customWidth="1"/>
    <col min="5" max="5" width="21.54296875" customWidth="1"/>
    <col min="6" max="6" width="19.90625" customWidth="1"/>
    <col min="7" max="7" width="18.08984375" customWidth="1"/>
    <col min="8" max="8" width="29.1796875" customWidth="1"/>
    <col min="9" max="9" width="24.26953125" customWidth="1"/>
    <col min="15" max="15" width="5.90625" customWidth="1"/>
    <col min="16" max="16" width="23.453125" customWidth="1"/>
    <col min="17" max="17" width="13.1796875" customWidth="1"/>
    <col min="18" max="18" width="23.90625" customWidth="1"/>
    <col min="19" max="19" width="22.81640625" customWidth="1"/>
    <col min="20" max="20" width="23.26953125" customWidth="1"/>
    <col min="22" max="22" width="16.1796875" bestFit="1" customWidth="1"/>
    <col min="23" max="23" width="23" customWidth="1"/>
    <col min="24" max="24" width="34" customWidth="1"/>
    <col min="25" max="25" width="14.54296875" customWidth="1"/>
  </cols>
  <sheetData>
    <row r="3" spans="4:25">
      <c r="W3" s="399" t="s">
        <v>122</v>
      </c>
      <c r="X3" s="399"/>
      <c r="Y3" s="399"/>
    </row>
    <row r="4" spans="4:25">
      <c r="W4" s="100" t="s">
        <v>119</v>
      </c>
      <c r="X4" s="100" t="s">
        <v>116</v>
      </c>
      <c r="Y4" s="100" t="s">
        <v>114</v>
      </c>
    </row>
    <row r="5" spans="4:25" ht="15" thickBot="1">
      <c r="W5" s="101">
        <v>1</v>
      </c>
      <c r="X5" s="101" t="s">
        <v>117</v>
      </c>
      <c r="Y5" s="102">
        <v>35741.1</v>
      </c>
    </row>
    <row r="6" spans="4:25" ht="30" customHeight="1" thickBot="1">
      <c r="D6" s="39" t="s">
        <v>0</v>
      </c>
      <c r="E6" s="40" t="s">
        <v>1</v>
      </c>
      <c r="F6" s="41" t="s">
        <v>2</v>
      </c>
      <c r="G6" s="41" t="s">
        <v>3</v>
      </c>
      <c r="H6" s="42" t="s">
        <v>4</v>
      </c>
      <c r="W6" s="105">
        <v>2</v>
      </c>
      <c r="X6" s="103" t="s">
        <v>118</v>
      </c>
      <c r="Y6" s="104">
        <v>391690</v>
      </c>
    </row>
    <row r="7" spans="4:25" ht="29.5" customHeight="1">
      <c r="D7" s="314" t="s">
        <v>5</v>
      </c>
      <c r="E7" s="21" t="s">
        <v>6</v>
      </c>
      <c r="F7" s="336" t="s">
        <v>8</v>
      </c>
      <c r="G7" s="338">
        <v>84</v>
      </c>
      <c r="H7" s="340" t="s">
        <v>9</v>
      </c>
      <c r="I7" s="219"/>
      <c r="W7" s="101">
        <v>3</v>
      </c>
      <c r="X7" s="101" t="s">
        <v>120</v>
      </c>
      <c r="Y7" s="102">
        <v>46370</v>
      </c>
    </row>
    <row r="8" spans="4:25" ht="44" customHeight="1">
      <c r="D8" s="315"/>
      <c r="E8" s="20" t="s">
        <v>7</v>
      </c>
      <c r="F8" s="337"/>
      <c r="G8" s="339"/>
      <c r="H8" s="341"/>
      <c r="I8" s="219"/>
      <c r="W8" s="101">
        <v>4</v>
      </c>
      <c r="X8" s="101" t="s">
        <v>121</v>
      </c>
      <c r="Y8" s="102">
        <v>13297</v>
      </c>
    </row>
    <row r="9" spans="4:25" ht="13" customHeight="1">
      <c r="D9" s="315"/>
      <c r="E9" s="19" t="s">
        <v>10</v>
      </c>
      <c r="F9" s="326" t="s">
        <v>12</v>
      </c>
      <c r="G9" s="328">
        <v>45</v>
      </c>
      <c r="H9" s="330" t="s">
        <v>13</v>
      </c>
      <c r="I9" s="219"/>
      <c r="W9" s="101"/>
      <c r="X9" s="100" t="s">
        <v>123</v>
      </c>
      <c r="Y9" s="106">
        <f>Y5+Y6+Y7+Y8</f>
        <v>487098.1</v>
      </c>
    </row>
    <row r="10" spans="4:25" ht="12" customHeight="1">
      <c r="D10" s="315"/>
      <c r="E10" s="20" t="s">
        <v>11</v>
      </c>
      <c r="F10" s="337"/>
      <c r="G10" s="321"/>
      <c r="H10" s="323"/>
      <c r="I10" s="219"/>
    </row>
    <row r="11" spans="4:25" ht="14.5" customHeight="1">
      <c r="D11" s="315"/>
      <c r="E11" s="27" t="s">
        <v>14</v>
      </c>
      <c r="F11" s="326" t="s">
        <v>72</v>
      </c>
      <c r="G11" s="328">
        <v>20</v>
      </c>
      <c r="H11" s="330" t="s">
        <v>17</v>
      </c>
      <c r="I11" s="219"/>
    </row>
    <row r="12" spans="4:25" ht="15" thickBot="1">
      <c r="D12" s="317"/>
      <c r="E12" s="33" t="s">
        <v>15</v>
      </c>
      <c r="F12" s="327"/>
      <c r="G12" s="329"/>
      <c r="H12" s="331"/>
      <c r="I12" s="219"/>
    </row>
    <row r="13" spans="4:25">
      <c r="D13" s="314" t="s">
        <v>18</v>
      </c>
      <c r="E13" s="31" t="s">
        <v>19</v>
      </c>
      <c r="F13" s="24" t="s">
        <v>20</v>
      </c>
      <c r="G13" s="53">
        <v>70</v>
      </c>
      <c r="H13" s="47" t="s">
        <v>21</v>
      </c>
      <c r="I13" s="219"/>
    </row>
    <row r="14" spans="4:25">
      <c r="D14" s="315"/>
      <c r="E14" s="32" t="s">
        <v>10</v>
      </c>
      <c r="F14" s="332" t="s">
        <v>12</v>
      </c>
      <c r="G14" s="333">
        <v>15</v>
      </c>
      <c r="H14" s="334">
        <v>45</v>
      </c>
      <c r="I14" s="220"/>
      <c r="W14" s="400" t="s">
        <v>110</v>
      </c>
      <c r="X14" s="400"/>
      <c r="Y14" s="400"/>
    </row>
    <row r="15" spans="4:25" ht="13.5" customHeight="1" thickBot="1">
      <c r="D15" s="317"/>
      <c r="E15" s="33" t="s">
        <v>22</v>
      </c>
      <c r="F15" s="327"/>
      <c r="G15" s="329"/>
      <c r="H15" s="335"/>
      <c r="I15" s="220"/>
      <c r="W15" s="100" t="s">
        <v>119</v>
      </c>
      <c r="X15" s="100" t="s">
        <v>116</v>
      </c>
      <c r="Y15" s="100" t="s">
        <v>111</v>
      </c>
    </row>
    <row r="16" spans="4:25" ht="14.5" customHeight="1">
      <c r="D16" s="314" t="s">
        <v>24</v>
      </c>
      <c r="E16" s="21" t="s">
        <v>25</v>
      </c>
      <c r="F16" s="318">
        <v>104.64</v>
      </c>
      <c r="G16" s="320">
        <v>159.6</v>
      </c>
      <c r="H16" s="322" t="s">
        <v>27</v>
      </c>
      <c r="I16" s="219"/>
      <c r="W16" s="101">
        <v>1</v>
      </c>
      <c r="X16" s="101" t="s">
        <v>124</v>
      </c>
      <c r="Y16" s="107">
        <v>10764.32</v>
      </c>
    </row>
    <row r="17" spans="4:25" ht="13" customHeight="1">
      <c r="D17" s="315"/>
      <c r="E17" s="20" t="s">
        <v>26</v>
      </c>
      <c r="F17" s="319"/>
      <c r="G17" s="321"/>
      <c r="H17" s="323"/>
      <c r="I17" s="219"/>
      <c r="W17" s="105">
        <f>W16+1</f>
        <v>2</v>
      </c>
      <c r="X17" s="103" t="s">
        <v>125</v>
      </c>
      <c r="Y17" s="109">
        <v>1965.83</v>
      </c>
    </row>
    <row r="18" spans="4:25">
      <c r="D18" s="315"/>
      <c r="E18" s="32" t="s">
        <v>10</v>
      </c>
      <c r="F18" s="332" t="s">
        <v>12</v>
      </c>
      <c r="G18" s="333">
        <v>30</v>
      </c>
      <c r="H18" s="342" t="s">
        <v>29</v>
      </c>
      <c r="I18" s="219"/>
      <c r="W18" s="105">
        <f t="shared" ref="W18:W21" si="0">W17+1</f>
        <v>3</v>
      </c>
      <c r="X18" s="101" t="s">
        <v>126</v>
      </c>
      <c r="Y18" s="102"/>
    </row>
    <row r="19" spans="4:25" ht="14" customHeight="1" thickBot="1">
      <c r="D19" s="317"/>
      <c r="E19" s="28" t="s">
        <v>28</v>
      </c>
      <c r="F19" s="332"/>
      <c r="G19" s="333"/>
      <c r="H19" s="342"/>
      <c r="I19" s="219"/>
      <c r="W19" s="105">
        <f t="shared" si="0"/>
        <v>4</v>
      </c>
      <c r="X19" s="101" t="s">
        <v>127</v>
      </c>
      <c r="Y19" s="107">
        <v>411292.11</v>
      </c>
    </row>
    <row r="20" spans="4:25" ht="14" customHeight="1">
      <c r="D20" s="29"/>
      <c r="E20" s="28"/>
      <c r="F20" s="23"/>
      <c r="G20" s="54"/>
      <c r="H20" s="48"/>
      <c r="I20" s="219"/>
      <c r="W20" s="105">
        <f t="shared" si="0"/>
        <v>5</v>
      </c>
      <c r="X20" s="101" t="s">
        <v>128</v>
      </c>
      <c r="Y20" s="107">
        <v>1525000</v>
      </c>
    </row>
    <row r="21" spans="4:25" ht="14" customHeight="1" thickBot="1">
      <c r="D21" s="29"/>
      <c r="E21" s="28"/>
      <c r="F21" s="23"/>
      <c r="G21" s="54"/>
      <c r="H21" s="48"/>
      <c r="I21" s="219"/>
      <c r="W21" s="105">
        <f t="shared" si="0"/>
        <v>6</v>
      </c>
      <c r="X21" s="101" t="s">
        <v>129</v>
      </c>
      <c r="Y21" s="107">
        <v>4955077</v>
      </c>
    </row>
    <row r="22" spans="4:25">
      <c r="D22" s="314" t="s">
        <v>30</v>
      </c>
      <c r="E22" s="21" t="s">
        <v>31</v>
      </c>
      <c r="F22" s="336" t="s">
        <v>33</v>
      </c>
      <c r="G22" s="320">
        <v>420</v>
      </c>
      <c r="H22" s="322" t="s">
        <v>34</v>
      </c>
      <c r="I22" s="219"/>
      <c r="W22" s="105"/>
      <c r="X22" s="100" t="s">
        <v>130</v>
      </c>
      <c r="Y22" s="108">
        <f>Y16+Y17+Y18+Y19+Y20+Y21</f>
        <v>6904099.2599999998</v>
      </c>
    </row>
    <row r="23" spans="4:25">
      <c r="D23" s="315"/>
      <c r="E23" s="34" t="s">
        <v>32</v>
      </c>
      <c r="F23" s="337"/>
      <c r="G23" s="321"/>
      <c r="H23" s="323"/>
      <c r="I23" s="219"/>
    </row>
    <row r="24" spans="4:25">
      <c r="D24" s="315"/>
      <c r="E24" s="32" t="s">
        <v>10</v>
      </c>
      <c r="F24" s="332" t="s">
        <v>12</v>
      </c>
      <c r="G24" s="333">
        <v>5</v>
      </c>
      <c r="H24" s="342" t="s">
        <v>36</v>
      </c>
      <c r="I24" s="219"/>
    </row>
    <row r="25" spans="4:25" ht="15" customHeight="1" thickBot="1">
      <c r="D25" s="315"/>
      <c r="E25" s="28" t="s">
        <v>35</v>
      </c>
      <c r="F25" s="332"/>
      <c r="G25" s="333"/>
      <c r="H25" s="342"/>
      <c r="I25" s="219"/>
    </row>
    <row r="26" spans="4:25">
      <c r="D26" s="314" t="s">
        <v>37</v>
      </c>
      <c r="E26" s="21" t="s">
        <v>38</v>
      </c>
      <c r="F26" s="336" t="s">
        <v>73</v>
      </c>
      <c r="G26" s="346"/>
      <c r="H26" s="348"/>
      <c r="I26" s="221"/>
    </row>
    <row r="27" spans="4:25" ht="13" customHeight="1">
      <c r="D27" s="315"/>
      <c r="E27" s="20" t="s">
        <v>39</v>
      </c>
      <c r="F27" s="337"/>
      <c r="G27" s="353"/>
      <c r="H27" s="354"/>
      <c r="I27" s="221"/>
    </row>
    <row r="28" spans="4:25">
      <c r="D28" s="315"/>
      <c r="E28" s="32" t="s">
        <v>10</v>
      </c>
      <c r="F28" s="332" t="s">
        <v>12</v>
      </c>
      <c r="G28" s="333">
        <v>10</v>
      </c>
      <c r="H28" s="342" t="s">
        <v>42</v>
      </c>
      <c r="I28" s="219"/>
    </row>
    <row r="29" spans="4:25" ht="21.5" customHeight="1" thickBot="1">
      <c r="D29" s="317"/>
      <c r="E29" s="33" t="s">
        <v>41</v>
      </c>
      <c r="F29" s="327"/>
      <c r="G29" s="329"/>
      <c r="H29" s="331"/>
      <c r="I29" s="219"/>
    </row>
    <row r="30" spans="4:25">
      <c r="D30" s="314" t="s">
        <v>43</v>
      </c>
      <c r="E30" s="21" t="s">
        <v>38</v>
      </c>
      <c r="F30" s="336" t="s">
        <v>45</v>
      </c>
      <c r="G30" s="346"/>
      <c r="H30" s="348"/>
      <c r="I30" s="221"/>
    </row>
    <row r="31" spans="4:25" ht="15" thickBot="1">
      <c r="D31" s="315"/>
      <c r="E31" s="35" t="s">
        <v>44</v>
      </c>
      <c r="F31" s="343"/>
      <c r="G31" s="347"/>
      <c r="H31" s="349"/>
      <c r="I31" s="221"/>
    </row>
    <row r="32" spans="4:25">
      <c r="D32" s="315"/>
      <c r="E32" s="36" t="s">
        <v>10</v>
      </c>
      <c r="F32" s="350" t="s">
        <v>12</v>
      </c>
      <c r="G32" s="351">
        <v>5</v>
      </c>
      <c r="H32" s="352" t="s">
        <v>36</v>
      </c>
      <c r="I32" s="219"/>
    </row>
    <row r="33" spans="4:9" ht="17" customHeight="1" thickBot="1">
      <c r="D33" s="317"/>
      <c r="E33" s="33" t="s">
        <v>41</v>
      </c>
      <c r="F33" s="327"/>
      <c r="G33" s="329"/>
      <c r="H33" s="331"/>
      <c r="I33" s="219"/>
    </row>
    <row r="34" spans="4:9">
      <c r="D34" s="314" t="s">
        <v>46</v>
      </c>
      <c r="E34" s="21" t="s">
        <v>47</v>
      </c>
      <c r="F34" s="336" t="s">
        <v>49</v>
      </c>
      <c r="G34" s="320">
        <v>319.2</v>
      </c>
      <c r="H34" s="322" t="s">
        <v>50</v>
      </c>
      <c r="I34" s="219"/>
    </row>
    <row r="35" spans="4:9" ht="15" customHeight="1" thickBot="1">
      <c r="D35" s="315"/>
      <c r="E35" s="35" t="s">
        <v>48</v>
      </c>
      <c r="F35" s="343"/>
      <c r="G35" s="344"/>
      <c r="H35" s="345"/>
      <c r="I35" s="219"/>
    </row>
    <row r="36" spans="4:9" ht="15" customHeight="1" thickBot="1">
      <c r="D36" s="315"/>
      <c r="E36" s="37" t="s">
        <v>51</v>
      </c>
      <c r="F36" s="25" t="s">
        <v>52</v>
      </c>
      <c r="G36" s="55">
        <v>84</v>
      </c>
      <c r="H36" s="49" t="s">
        <v>53</v>
      </c>
      <c r="I36" s="219"/>
    </row>
    <row r="37" spans="4:9" ht="13" customHeight="1" thickBot="1">
      <c r="D37" s="315"/>
      <c r="E37" s="37" t="s">
        <v>54</v>
      </c>
      <c r="F37" s="25" t="s">
        <v>55</v>
      </c>
      <c r="G37" s="55">
        <v>84</v>
      </c>
      <c r="H37" s="49" t="s">
        <v>56</v>
      </c>
      <c r="I37" s="219"/>
    </row>
    <row r="38" spans="4:9">
      <c r="D38" s="314" t="s">
        <v>57</v>
      </c>
      <c r="E38" s="21" t="s">
        <v>58</v>
      </c>
      <c r="F38" s="336" t="s">
        <v>60</v>
      </c>
      <c r="G38" s="320">
        <v>35</v>
      </c>
      <c r="H38" s="322" t="s">
        <v>61</v>
      </c>
      <c r="I38" s="219"/>
    </row>
    <row r="39" spans="4:9" ht="23.5" customHeight="1">
      <c r="D39" s="315"/>
      <c r="E39" s="34" t="s">
        <v>59</v>
      </c>
      <c r="F39" s="337"/>
      <c r="G39" s="321"/>
      <c r="H39" s="323"/>
      <c r="I39" s="219"/>
    </row>
    <row r="40" spans="4:9" ht="13" customHeight="1">
      <c r="D40" s="315"/>
      <c r="E40" s="38" t="s">
        <v>62</v>
      </c>
      <c r="F40" s="26" t="s">
        <v>63</v>
      </c>
      <c r="G40" s="56">
        <v>35</v>
      </c>
      <c r="H40" s="50" t="s">
        <v>64</v>
      </c>
      <c r="I40" s="219"/>
    </row>
    <row r="41" spans="4:9" ht="17" customHeight="1" thickBot="1">
      <c r="D41" s="317"/>
      <c r="E41" s="45" t="s">
        <v>65</v>
      </c>
      <c r="F41" s="46" t="s">
        <v>66</v>
      </c>
      <c r="G41" s="57">
        <v>35</v>
      </c>
      <c r="H41" s="51" t="s">
        <v>67</v>
      </c>
      <c r="I41" s="219"/>
    </row>
    <row r="42" spans="4:9" ht="15" thickBot="1">
      <c r="D42" s="30" t="s">
        <v>68</v>
      </c>
      <c r="E42" s="43" t="s">
        <v>69</v>
      </c>
      <c r="F42" s="44"/>
      <c r="G42" s="58" t="s">
        <v>70</v>
      </c>
      <c r="H42" s="59" t="s">
        <v>74</v>
      </c>
      <c r="I42" s="277"/>
    </row>
    <row r="45" spans="4:9" ht="15" thickBot="1"/>
    <row r="46" spans="4:9" ht="15" thickBot="1">
      <c r="D46" s="1" t="s">
        <v>0</v>
      </c>
      <c r="E46" s="1" t="s">
        <v>1</v>
      </c>
      <c r="F46" s="2" t="s">
        <v>2</v>
      </c>
      <c r="G46" s="2" t="s">
        <v>3</v>
      </c>
      <c r="H46" s="2" t="s">
        <v>4</v>
      </c>
      <c r="I46" s="223"/>
    </row>
    <row r="47" spans="4:9" ht="26">
      <c r="D47" s="361" t="s">
        <v>5</v>
      </c>
      <c r="E47" s="3" t="s">
        <v>6</v>
      </c>
      <c r="F47" s="363" t="s">
        <v>8</v>
      </c>
      <c r="G47" s="363">
        <v>84</v>
      </c>
      <c r="H47" s="363" t="s">
        <v>9</v>
      </c>
      <c r="I47" s="224"/>
    </row>
    <row r="48" spans="4:9" ht="21.5" thickBot="1">
      <c r="D48" s="362"/>
      <c r="E48" s="4" t="s">
        <v>7</v>
      </c>
      <c r="F48" s="358"/>
      <c r="G48" s="358"/>
      <c r="H48" s="358"/>
      <c r="I48" s="224"/>
    </row>
    <row r="49" spans="4:9">
      <c r="D49" s="355"/>
      <c r="E49" s="5" t="s">
        <v>10</v>
      </c>
      <c r="F49" s="357" t="s">
        <v>12</v>
      </c>
      <c r="G49" s="357">
        <v>45</v>
      </c>
      <c r="H49" s="357" t="s">
        <v>13</v>
      </c>
      <c r="I49" s="224"/>
    </row>
    <row r="50" spans="4:9" ht="21.5" thickBot="1">
      <c r="D50" s="356"/>
      <c r="E50" s="4" t="s">
        <v>11</v>
      </c>
      <c r="F50" s="358"/>
      <c r="G50" s="358"/>
      <c r="H50" s="358"/>
      <c r="I50" s="224"/>
    </row>
    <row r="51" spans="4:9" ht="26">
      <c r="D51" s="355"/>
      <c r="E51" s="6" t="s">
        <v>14</v>
      </c>
      <c r="F51" s="357" t="s">
        <v>16</v>
      </c>
      <c r="G51" s="357">
        <v>20</v>
      </c>
      <c r="H51" s="357" t="s">
        <v>17</v>
      </c>
      <c r="I51" s="224"/>
    </row>
    <row r="52" spans="4:9" ht="15" thickBot="1">
      <c r="D52" s="356"/>
      <c r="E52" s="4" t="s">
        <v>15</v>
      </c>
      <c r="F52" s="358"/>
      <c r="G52" s="358"/>
      <c r="H52" s="358"/>
      <c r="I52" s="224"/>
    </row>
    <row r="53" spans="4:9" ht="15" thickBot="1">
      <c r="D53" s="7"/>
      <c r="E53" s="7"/>
      <c r="F53" s="7"/>
      <c r="G53" s="7"/>
      <c r="H53" s="7"/>
      <c r="I53" s="225"/>
    </row>
    <row r="54" spans="4:9" ht="15" thickBot="1">
      <c r="D54" s="8" t="s">
        <v>18</v>
      </c>
      <c r="E54" s="9" t="s">
        <v>19</v>
      </c>
      <c r="F54" s="10" t="s">
        <v>20</v>
      </c>
      <c r="G54" s="10">
        <v>70</v>
      </c>
      <c r="H54" s="10" t="s">
        <v>21</v>
      </c>
      <c r="I54" s="224"/>
    </row>
    <row r="55" spans="4:9">
      <c r="D55" s="355"/>
      <c r="E55" s="5" t="s">
        <v>10</v>
      </c>
      <c r="F55" s="357" t="s">
        <v>23</v>
      </c>
      <c r="G55" s="357">
        <v>15</v>
      </c>
      <c r="H55" s="359">
        <v>45</v>
      </c>
      <c r="I55" s="226"/>
    </row>
    <row r="56" spans="4:9" ht="32" thickBot="1">
      <c r="D56" s="356"/>
      <c r="E56" s="4" t="s">
        <v>22</v>
      </c>
      <c r="F56" s="358"/>
      <c r="G56" s="358"/>
      <c r="H56" s="360"/>
      <c r="I56" s="226"/>
    </row>
    <row r="57" spans="4:9" ht="15" thickBot="1">
      <c r="D57" s="7"/>
      <c r="E57" s="7"/>
      <c r="F57" s="7"/>
      <c r="G57" s="7"/>
      <c r="H57" s="7"/>
      <c r="I57" s="225"/>
    </row>
    <row r="58" spans="4:9">
      <c r="D58" s="364" t="s">
        <v>24</v>
      </c>
      <c r="E58" s="5" t="s">
        <v>25</v>
      </c>
      <c r="F58" s="359">
        <v>104.64</v>
      </c>
      <c r="G58" s="357">
        <v>159.6</v>
      </c>
      <c r="H58" s="357" t="s">
        <v>27</v>
      </c>
      <c r="I58" s="224"/>
    </row>
    <row r="59" spans="4:9" ht="15" thickBot="1">
      <c r="D59" s="362"/>
      <c r="E59" s="4" t="s">
        <v>26</v>
      </c>
      <c r="F59" s="360"/>
      <c r="G59" s="358"/>
      <c r="H59" s="358"/>
      <c r="I59" s="224"/>
    </row>
    <row r="60" spans="4:9">
      <c r="D60" s="355"/>
      <c r="E60" s="5" t="s">
        <v>10</v>
      </c>
      <c r="F60" s="357" t="s">
        <v>23</v>
      </c>
      <c r="G60" s="357">
        <v>30</v>
      </c>
      <c r="H60" s="357" t="s">
        <v>29</v>
      </c>
      <c r="I60" s="224"/>
    </row>
    <row r="61" spans="4:9" ht="32" thickBot="1">
      <c r="D61" s="356"/>
      <c r="E61" s="4" t="s">
        <v>28</v>
      </c>
      <c r="F61" s="358"/>
      <c r="G61" s="358"/>
      <c r="H61" s="358"/>
      <c r="I61" s="224"/>
    </row>
    <row r="62" spans="4:9">
      <c r="D62" s="364" t="s">
        <v>30</v>
      </c>
      <c r="E62" s="5" t="s">
        <v>31</v>
      </c>
      <c r="F62" s="357" t="s">
        <v>33</v>
      </c>
      <c r="G62" s="357">
        <v>420</v>
      </c>
      <c r="H62" s="357" t="s">
        <v>34</v>
      </c>
      <c r="I62" s="224"/>
    </row>
    <row r="63" spans="4:9" ht="15" thickBot="1">
      <c r="D63" s="362"/>
      <c r="E63" s="11" t="s">
        <v>32</v>
      </c>
      <c r="F63" s="358"/>
      <c r="G63" s="358"/>
      <c r="H63" s="358"/>
      <c r="I63" s="224"/>
    </row>
    <row r="64" spans="4:9">
      <c r="D64" s="355"/>
      <c r="E64" s="5" t="s">
        <v>10</v>
      </c>
      <c r="F64" s="357" t="s">
        <v>23</v>
      </c>
      <c r="G64" s="357">
        <v>5</v>
      </c>
      <c r="H64" s="357" t="s">
        <v>36</v>
      </c>
      <c r="I64" s="224"/>
    </row>
    <row r="65" spans="4:9" ht="32" thickBot="1">
      <c r="D65" s="356"/>
      <c r="E65" s="4" t="s">
        <v>35</v>
      </c>
      <c r="F65" s="358"/>
      <c r="G65" s="358"/>
      <c r="H65" s="358"/>
      <c r="I65" s="224"/>
    </row>
    <row r="66" spans="4:9">
      <c r="D66" s="364" t="s">
        <v>37</v>
      </c>
      <c r="E66" s="5" t="s">
        <v>38</v>
      </c>
      <c r="F66" s="357" t="s">
        <v>40</v>
      </c>
      <c r="G66" s="355"/>
      <c r="H66" s="355"/>
      <c r="I66" s="225"/>
    </row>
    <row r="67" spans="4:9" ht="21.5" thickBot="1">
      <c r="D67" s="362"/>
      <c r="E67" s="4" t="s">
        <v>39</v>
      </c>
      <c r="F67" s="358"/>
      <c r="G67" s="356"/>
      <c r="H67" s="356"/>
      <c r="I67" s="225"/>
    </row>
    <row r="68" spans="4:9">
      <c r="D68" s="355"/>
      <c r="E68" s="5" t="s">
        <v>10</v>
      </c>
      <c r="F68" s="357" t="s">
        <v>23</v>
      </c>
      <c r="G68" s="357">
        <v>10</v>
      </c>
      <c r="H68" s="357" t="s">
        <v>42</v>
      </c>
      <c r="I68" s="224"/>
    </row>
    <row r="69" spans="4:9" ht="21.5" thickBot="1">
      <c r="D69" s="356"/>
      <c r="E69" s="4" t="s">
        <v>41</v>
      </c>
      <c r="F69" s="358"/>
      <c r="G69" s="358"/>
      <c r="H69" s="358"/>
      <c r="I69" s="224"/>
    </row>
    <row r="70" spans="4:9">
      <c r="D70" s="364" t="s">
        <v>43</v>
      </c>
      <c r="E70" s="5" t="s">
        <v>38</v>
      </c>
      <c r="F70" s="357" t="s">
        <v>45</v>
      </c>
      <c r="G70" s="355"/>
      <c r="H70" s="355"/>
      <c r="I70" s="225"/>
    </row>
    <row r="71" spans="4:9" ht="15" thickBot="1">
      <c r="D71" s="362"/>
      <c r="E71" s="4" t="s">
        <v>44</v>
      </c>
      <c r="F71" s="358"/>
      <c r="G71" s="356"/>
      <c r="H71" s="356"/>
      <c r="I71" s="225"/>
    </row>
    <row r="72" spans="4:9">
      <c r="D72" s="355"/>
      <c r="E72" s="5" t="s">
        <v>10</v>
      </c>
      <c r="F72" s="357" t="s">
        <v>23</v>
      </c>
      <c r="G72" s="357">
        <v>5</v>
      </c>
      <c r="H72" s="357" t="s">
        <v>36</v>
      </c>
      <c r="I72" s="224"/>
    </row>
    <row r="73" spans="4:9" ht="21.5" thickBot="1">
      <c r="D73" s="356"/>
      <c r="E73" s="4" t="s">
        <v>41</v>
      </c>
      <c r="F73" s="358"/>
      <c r="G73" s="358"/>
      <c r="H73" s="358"/>
      <c r="I73" s="224"/>
    </row>
    <row r="74" spans="4:9">
      <c r="D74" s="364" t="s">
        <v>46</v>
      </c>
      <c r="E74" s="5" t="s">
        <v>47</v>
      </c>
      <c r="F74" s="357" t="s">
        <v>49</v>
      </c>
      <c r="G74" s="357">
        <v>319.2</v>
      </c>
      <c r="H74" s="357" t="s">
        <v>50</v>
      </c>
      <c r="I74" s="224"/>
    </row>
    <row r="75" spans="4:9" ht="21.5" thickBot="1">
      <c r="D75" s="362"/>
      <c r="E75" s="4" t="s">
        <v>48</v>
      </c>
      <c r="F75" s="358"/>
      <c r="G75" s="358"/>
      <c r="H75" s="358"/>
      <c r="I75" s="224"/>
    </row>
    <row r="76" spans="4:9" ht="21.5" thickBot="1">
      <c r="D76" s="7"/>
      <c r="E76" s="12" t="s">
        <v>51</v>
      </c>
      <c r="F76" s="10" t="s">
        <v>52</v>
      </c>
      <c r="G76" s="10">
        <v>84</v>
      </c>
      <c r="H76" s="10" t="s">
        <v>53</v>
      </c>
      <c r="I76" s="224"/>
    </row>
    <row r="77" spans="4:9" ht="21.5" thickBot="1">
      <c r="D77" s="7"/>
      <c r="E77" s="12" t="s">
        <v>54</v>
      </c>
      <c r="F77" s="10" t="s">
        <v>55</v>
      </c>
      <c r="G77" s="10">
        <v>84</v>
      </c>
      <c r="H77" s="10" t="s">
        <v>56</v>
      </c>
      <c r="I77" s="224"/>
    </row>
    <row r="78" spans="4:9">
      <c r="D78" s="355"/>
      <c r="E78" s="5" t="s">
        <v>10</v>
      </c>
      <c r="F78" s="355"/>
      <c r="G78" s="355"/>
      <c r="H78" s="355"/>
      <c r="I78" s="225"/>
    </row>
    <row r="79" spans="4:9" ht="21.5" thickBot="1">
      <c r="D79" s="356"/>
      <c r="E79" s="4" t="s">
        <v>41</v>
      </c>
      <c r="F79" s="356"/>
      <c r="G79" s="356"/>
      <c r="H79" s="356"/>
      <c r="I79" s="225"/>
    </row>
    <row r="80" spans="4:9" ht="15" thickBot="1">
      <c r="D80" s="7"/>
      <c r="E80" s="7"/>
      <c r="F80" s="7"/>
      <c r="G80" s="7"/>
      <c r="H80" s="7"/>
      <c r="I80" s="225"/>
    </row>
    <row r="81" spans="4:9">
      <c r="D81" s="364" t="s">
        <v>57</v>
      </c>
      <c r="E81" s="5" t="s">
        <v>58</v>
      </c>
      <c r="F81" s="357" t="s">
        <v>60</v>
      </c>
      <c r="G81" s="357">
        <v>35</v>
      </c>
      <c r="H81" s="357" t="s">
        <v>61</v>
      </c>
      <c r="I81" s="224"/>
    </row>
    <row r="82" spans="4:9" ht="42.5" thickBot="1">
      <c r="D82" s="362"/>
      <c r="E82" s="11" t="s">
        <v>59</v>
      </c>
      <c r="F82" s="358"/>
      <c r="G82" s="358"/>
      <c r="H82" s="358"/>
      <c r="I82" s="224"/>
    </row>
    <row r="83" spans="4:9" ht="21.5" thickBot="1">
      <c r="D83" s="7"/>
      <c r="E83" s="12" t="s">
        <v>62</v>
      </c>
      <c r="F83" s="10" t="s">
        <v>63</v>
      </c>
      <c r="G83" s="10">
        <v>35</v>
      </c>
      <c r="H83" s="10" t="s">
        <v>64</v>
      </c>
      <c r="I83" s="224"/>
    </row>
    <row r="84" spans="4:9" ht="32" thickBot="1">
      <c r="D84" s="7"/>
      <c r="E84" s="12" t="s">
        <v>65</v>
      </c>
      <c r="F84" s="10" t="s">
        <v>66</v>
      </c>
      <c r="G84" s="10">
        <v>35</v>
      </c>
      <c r="H84" s="10" t="s">
        <v>67</v>
      </c>
      <c r="I84" s="224"/>
    </row>
    <row r="85" spans="4:9" ht="15" thickBot="1">
      <c r="D85" s="13"/>
      <c r="E85" s="13"/>
      <c r="F85" s="13"/>
      <c r="G85" s="13"/>
      <c r="H85" s="13"/>
      <c r="I85" s="225"/>
    </row>
    <row r="86" spans="4:9" ht="15" thickBot="1">
      <c r="D86" s="14" t="s">
        <v>68</v>
      </c>
      <c r="E86" s="15" t="s">
        <v>69</v>
      </c>
      <c r="F86" s="16"/>
      <c r="G86" s="17" t="s">
        <v>70</v>
      </c>
      <c r="H86" s="18" t="s">
        <v>71</v>
      </c>
      <c r="I86" s="227"/>
    </row>
    <row r="88" spans="4:9" ht="15" thickBot="1"/>
    <row r="89" spans="4:9" ht="15" thickBot="1">
      <c r="D89" s="69" t="s">
        <v>0</v>
      </c>
      <c r="E89" s="70" t="s">
        <v>1</v>
      </c>
      <c r="F89" s="71" t="s">
        <v>2</v>
      </c>
      <c r="G89" s="71" t="s">
        <v>3</v>
      </c>
      <c r="H89" s="72" t="s">
        <v>4</v>
      </c>
      <c r="I89" s="228"/>
    </row>
    <row r="90" spans="4:9" ht="26">
      <c r="D90" s="315" t="s">
        <v>76</v>
      </c>
      <c r="E90" s="68" t="s">
        <v>82</v>
      </c>
      <c r="F90" s="367" t="s">
        <v>80</v>
      </c>
      <c r="G90" s="374">
        <v>12</v>
      </c>
      <c r="H90" s="376">
        <v>12000</v>
      </c>
      <c r="I90" s="229"/>
    </row>
    <row r="91" spans="4:9" ht="21">
      <c r="D91" s="315"/>
      <c r="E91" s="62" t="s">
        <v>81</v>
      </c>
      <c r="F91" s="373"/>
      <c r="G91" s="375"/>
      <c r="H91" s="377"/>
      <c r="I91" s="229"/>
    </row>
    <row r="92" spans="4:9">
      <c r="D92" s="315"/>
      <c r="E92" s="63" t="s">
        <v>75</v>
      </c>
      <c r="F92" s="378" t="s">
        <v>83</v>
      </c>
      <c r="G92" s="379">
        <v>12</v>
      </c>
      <c r="H92" s="365">
        <v>600</v>
      </c>
      <c r="I92" s="230"/>
    </row>
    <row r="93" spans="4:9" ht="21.5" thickBot="1">
      <c r="D93" s="315"/>
      <c r="E93" s="62" t="s">
        <v>78</v>
      </c>
      <c r="F93" s="373"/>
      <c r="G93" s="380"/>
      <c r="H93" s="366"/>
      <c r="I93" s="230"/>
    </row>
    <row r="94" spans="4:9" ht="25" customHeight="1">
      <c r="D94" s="314" t="s">
        <v>77</v>
      </c>
      <c r="E94" s="64" t="s">
        <v>88</v>
      </c>
      <c r="F94" s="60" t="s">
        <v>87</v>
      </c>
      <c r="G94" s="61">
        <f>212701+53250</f>
        <v>265951</v>
      </c>
      <c r="H94" s="65">
        <v>13297</v>
      </c>
      <c r="I94" s="231"/>
    </row>
    <row r="95" spans="4:9">
      <c r="D95" s="315"/>
      <c r="E95" s="66" t="s">
        <v>10</v>
      </c>
      <c r="F95" s="367" t="s">
        <v>84</v>
      </c>
      <c r="G95" s="369">
        <v>24</v>
      </c>
      <c r="H95" s="371">
        <v>1200</v>
      </c>
      <c r="I95" s="232"/>
    </row>
    <row r="96" spans="4:9" ht="32" thickBot="1">
      <c r="D96" s="317"/>
      <c r="E96" s="67" t="s">
        <v>79</v>
      </c>
      <c r="F96" s="368"/>
      <c r="G96" s="370"/>
      <c r="H96" s="372"/>
      <c r="I96" s="232"/>
    </row>
    <row r="97" spans="4:19" ht="15" thickBot="1">
      <c r="D97" s="30" t="s">
        <v>86</v>
      </c>
      <c r="E97" s="43" t="s">
        <v>85</v>
      </c>
      <c r="F97" s="44"/>
      <c r="G97" s="58" t="s">
        <v>70</v>
      </c>
      <c r="H97" s="74">
        <f>H90+H92+H94+H95</f>
        <v>27097</v>
      </c>
      <c r="I97" s="233"/>
    </row>
    <row r="98" spans="4:19" ht="15" thickBot="1"/>
    <row r="99" spans="4:19" ht="15" thickBot="1">
      <c r="D99" s="77" t="s">
        <v>0</v>
      </c>
      <c r="E99" s="78" t="s">
        <v>1</v>
      </c>
      <c r="F99" s="79" t="s">
        <v>2</v>
      </c>
      <c r="G99" s="79" t="s">
        <v>3</v>
      </c>
      <c r="H99" s="80" t="s">
        <v>4</v>
      </c>
      <c r="I99" s="234"/>
    </row>
    <row r="100" spans="4:19" ht="26">
      <c r="D100" s="314" t="s">
        <v>89</v>
      </c>
      <c r="E100" s="21" t="s">
        <v>93</v>
      </c>
      <c r="F100" s="387">
        <v>1000</v>
      </c>
      <c r="G100" s="338">
        <v>1</v>
      </c>
      <c r="H100" s="390">
        <v>1000</v>
      </c>
      <c r="I100" s="111"/>
    </row>
    <row r="101" spans="4:19" ht="15" thickBot="1">
      <c r="D101" s="317"/>
      <c r="E101" s="33" t="s">
        <v>94</v>
      </c>
      <c r="F101" s="388"/>
      <c r="G101" s="389"/>
      <c r="H101" s="391"/>
      <c r="I101" s="111"/>
    </row>
    <row r="102" spans="4:19">
      <c r="D102" s="315" t="s">
        <v>90</v>
      </c>
      <c r="E102" s="32" t="s">
        <v>95</v>
      </c>
      <c r="F102" s="382">
        <v>1250</v>
      </c>
      <c r="G102" s="333">
        <v>1</v>
      </c>
      <c r="H102" s="385">
        <v>1250</v>
      </c>
      <c r="I102" s="112"/>
    </row>
    <row r="103" spans="4:19" ht="21">
      <c r="D103" s="315"/>
      <c r="E103" s="20" t="s">
        <v>96</v>
      </c>
      <c r="F103" s="392"/>
      <c r="G103" s="321"/>
      <c r="H103" s="393"/>
      <c r="I103" s="112"/>
    </row>
    <row r="104" spans="4:19" ht="26">
      <c r="D104" s="315"/>
      <c r="E104" s="27" t="s">
        <v>97</v>
      </c>
      <c r="F104" s="394">
        <v>750</v>
      </c>
      <c r="G104" s="328">
        <v>1</v>
      </c>
      <c r="H104" s="398">
        <v>1000</v>
      </c>
      <c r="I104" s="112"/>
    </row>
    <row r="105" spans="4:19" ht="32" thickBot="1">
      <c r="D105" s="317"/>
      <c r="E105" s="33" t="s">
        <v>98</v>
      </c>
      <c r="F105" s="383"/>
      <c r="G105" s="329"/>
      <c r="H105" s="386"/>
      <c r="I105" s="112"/>
      <c r="L105" s="81"/>
    </row>
    <row r="106" spans="4:19" ht="26.5" thickBot="1">
      <c r="D106" s="314" t="s">
        <v>106</v>
      </c>
      <c r="E106" s="31" t="s">
        <v>99</v>
      </c>
      <c r="F106" s="381">
        <v>500</v>
      </c>
      <c r="G106" s="320">
        <v>1</v>
      </c>
      <c r="H106" s="384">
        <v>500</v>
      </c>
      <c r="I106" s="112"/>
    </row>
    <row r="107" spans="4:19" ht="30.5" customHeight="1" thickBot="1">
      <c r="D107" s="315"/>
      <c r="E107" s="32" t="s">
        <v>100</v>
      </c>
      <c r="F107" s="382"/>
      <c r="G107" s="333"/>
      <c r="H107" s="385"/>
      <c r="I107" s="112"/>
      <c r="N107" s="257"/>
      <c r="O107" s="405" t="s">
        <v>112</v>
      </c>
      <c r="P107" s="406"/>
      <c r="Q107" s="297" t="s">
        <v>333</v>
      </c>
      <c r="R107" s="297" t="s">
        <v>113</v>
      </c>
      <c r="S107" s="297" t="s">
        <v>737</v>
      </c>
    </row>
    <row r="108" spans="4:19" ht="18" customHeight="1" thickBot="1">
      <c r="D108" s="317"/>
      <c r="E108" s="33" t="s">
        <v>101</v>
      </c>
      <c r="F108" s="383"/>
      <c r="G108" s="329"/>
      <c r="H108" s="386"/>
      <c r="I108" s="112"/>
      <c r="N108" s="403" t="s">
        <v>332</v>
      </c>
      <c r="O108" s="407" t="s">
        <v>249</v>
      </c>
      <c r="P108" s="408"/>
      <c r="Q108" s="509" t="s">
        <v>335</v>
      </c>
      <c r="R108" s="411" t="s">
        <v>334</v>
      </c>
      <c r="S108" s="302" t="s">
        <v>738</v>
      </c>
    </row>
    <row r="109" spans="4:19" ht="12" customHeight="1">
      <c r="D109" s="314" t="s">
        <v>91</v>
      </c>
      <c r="E109" s="21" t="s">
        <v>102</v>
      </c>
      <c r="F109" s="318"/>
      <c r="G109" s="320">
        <v>1</v>
      </c>
      <c r="H109" s="322"/>
      <c r="I109" s="219"/>
      <c r="N109" s="404"/>
      <c r="O109" s="409"/>
      <c r="P109" s="410"/>
      <c r="Q109" s="510"/>
      <c r="R109" s="412"/>
      <c r="S109" s="303"/>
    </row>
    <row r="110" spans="4:19" ht="15" thickBot="1">
      <c r="D110" s="315"/>
      <c r="E110" s="20" t="s">
        <v>103</v>
      </c>
      <c r="F110" s="319"/>
      <c r="G110" s="321"/>
      <c r="H110" s="323"/>
      <c r="I110" s="219"/>
      <c r="N110" s="298" t="s">
        <v>70</v>
      </c>
      <c r="O110" s="304" t="s">
        <v>518</v>
      </c>
      <c r="P110" s="304"/>
      <c r="Q110" s="304"/>
      <c r="R110" s="304"/>
      <c r="S110" s="305"/>
    </row>
    <row r="111" spans="4:19">
      <c r="D111" s="316"/>
      <c r="E111" s="22" t="s">
        <v>104</v>
      </c>
      <c r="F111" s="82" t="s">
        <v>108</v>
      </c>
      <c r="G111" s="75"/>
      <c r="H111" s="76"/>
      <c r="I111" s="235"/>
    </row>
    <row r="112" spans="4:19" ht="15" thickBot="1">
      <c r="D112" s="317"/>
      <c r="E112" s="33" t="s">
        <v>105</v>
      </c>
      <c r="F112" s="83">
        <v>100</v>
      </c>
      <c r="G112" s="52">
        <v>12</v>
      </c>
      <c r="H112" s="84">
        <v>1200</v>
      </c>
      <c r="I112" s="236"/>
    </row>
    <row r="113" spans="4:23" ht="24.5" customHeight="1" thickBot="1">
      <c r="D113" s="30" t="s">
        <v>107</v>
      </c>
      <c r="E113" s="43" t="s">
        <v>92</v>
      </c>
      <c r="F113" s="44"/>
      <c r="G113" s="58" t="s">
        <v>70</v>
      </c>
      <c r="H113" s="59"/>
      <c r="I113" s="222"/>
    </row>
    <row r="115" spans="4:23" ht="15" thickBot="1"/>
    <row r="116" spans="4:23" ht="49.5" customHeight="1" thickBot="1">
      <c r="O116" s="258" t="s">
        <v>109</v>
      </c>
      <c r="P116" s="259" t="s">
        <v>338</v>
      </c>
      <c r="Q116" s="259" t="s">
        <v>749</v>
      </c>
      <c r="R116" s="260" t="s">
        <v>336</v>
      </c>
      <c r="S116" s="258" t="s">
        <v>339</v>
      </c>
      <c r="T116" s="261" t="s">
        <v>337</v>
      </c>
    </row>
    <row r="117" spans="4:23">
      <c r="O117" s="306">
        <v>0</v>
      </c>
      <c r="P117" s="533">
        <v>-56.82</v>
      </c>
      <c r="Q117" s="401" t="s">
        <v>131</v>
      </c>
      <c r="R117" s="529">
        <v>-56.82</v>
      </c>
      <c r="S117" s="312"/>
      <c r="T117" s="527">
        <f>R117</f>
        <v>-56.82</v>
      </c>
    </row>
    <row r="118" spans="4:23" ht="15" thickBot="1">
      <c r="O118" s="395"/>
      <c r="P118" s="534"/>
      <c r="Q118" s="402"/>
      <c r="R118" s="530"/>
      <c r="S118" s="325"/>
      <c r="T118" s="528"/>
    </row>
    <row r="119" spans="4:23" ht="15" thickBot="1">
      <c r="D119" s="85" t="s">
        <v>109</v>
      </c>
      <c r="E119" s="89" t="s">
        <v>115</v>
      </c>
      <c r="F119" s="85" t="s">
        <v>111</v>
      </c>
      <c r="G119" s="93" t="s">
        <v>114</v>
      </c>
      <c r="O119" s="306">
        <f>O117+1</f>
        <v>1</v>
      </c>
      <c r="P119" s="308">
        <v>0</v>
      </c>
      <c r="Q119" s="401" t="s">
        <v>131</v>
      </c>
      <c r="R119" s="531">
        <f>6.904-1.22</f>
        <v>5.6840000000000002</v>
      </c>
      <c r="S119" s="396" t="s">
        <v>739</v>
      </c>
      <c r="T119" s="527">
        <f>R119/((1+0.09)^1)</f>
        <v>5.2146788990825685</v>
      </c>
    </row>
    <row r="120" spans="4:23" ht="15" thickBot="1">
      <c r="D120" s="86">
        <v>0</v>
      </c>
      <c r="E120" s="90"/>
      <c r="F120" s="97"/>
      <c r="G120" s="94"/>
      <c r="O120" s="395"/>
      <c r="P120" s="324"/>
      <c r="Q120" s="402"/>
      <c r="R120" s="532"/>
      <c r="S120" s="397"/>
      <c r="T120" s="528"/>
      <c r="W120" s="263" t="s">
        <v>132</v>
      </c>
    </row>
    <row r="121" spans="4:23">
      <c r="D121" s="87">
        <v>1</v>
      </c>
      <c r="E121" s="91"/>
      <c r="F121" s="98"/>
      <c r="G121" s="95"/>
      <c r="O121" s="306">
        <f t="shared" ref="O121" si="1">O119+1</f>
        <v>2</v>
      </c>
      <c r="P121" s="308">
        <v>0</v>
      </c>
      <c r="Q121" s="310">
        <v>0.09</v>
      </c>
      <c r="R121" s="531">
        <f>R119*10%+(R119)</f>
        <v>6.2523999999999997</v>
      </c>
      <c r="S121" s="396" t="s">
        <v>740</v>
      </c>
      <c r="T121" s="527">
        <f>R121/((1+0.09)^2)</f>
        <v>5.2625199898998396</v>
      </c>
      <c r="W121" s="262">
        <f>IRR(R117:R168)</f>
        <v>0.18421532353359149</v>
      </c>
    </row>
    <row r="122" spans="4:23" ht="15" thickBot="1">
      <c r="D122" s="87">
        <v>2</v>
      </c>
      <c r="E122" s="91"/>
      <c r="F122" s="98"/>
      <c r="G122" s="95"/>
      <c r="O122" s="395"/>
      <c r="P122" s="324"/>
      <c r="Q122" s="311"/>
      <c r="R122" s="532"/>
      <c r="S122" s="397"/>
      <c r="T122" s="528"/>
      <c r="V122" s="110"/>
    </row>
    <row r="123" spans="4:23">
      <c r="D123" s="87">
        <v>3</v>
      </c>
      <c r="E123" s="91"/>
      <c r="F123" s="98"/>
      <c r="G123" s="95"/>
      <c r="O123" s="306">
        <f t="shared" ref="O123" si="2">O121+1</f>
        <v>3</v>
      </c>
      <c r="P123" s="308">
        <v>0</v>
      </c>
      <c r="Q123" s="310">
        <v>0.09</v>
      </c>
      <c r="R123" s="531">
        <f t="shared" ref="R123" si="3">R121*10%+(R121)</f>
        <v>6.8776399999999995</v>
      </c>
      <c r="S123" s="312" t="s">
        <v>741</v>
      </c>
      <c r="T123" s="527">
        <f>R123/((1+0.09)^3)</f>
        <v>5.3107999898071769</v>
      </c>
      <c r="W123" s="113" t="s">
        <v>133</v>
      </c>
    </row>
    <row r="124" spans="4:23" ht="15" thickBot="1">
      <c r="D124" s="87">
        <v>4</v>
      </c>
      <c r="E124" s="91"/>
      <c r="F124" s="98"/>
      <c r="G124" s="95"/>
      <c r="O124" s="395"/>
      <c r="P124" s="324"/>
      <c r="Q124" s="311"/>
      <c r="R124" s="532"/>
      <c r="S124" s="325"/>
      <c r="T124" s="528"/>
      <c r="W124" s="535">
        <v>3.25</v>
      </c>
    </row>
    <row r="125" spans="4:23">
      <c r="D125" s="87">
        <v>5</v>
      </c>
      <c r="E125" s="91"/>
      <c r="F125" s="98"/>
      <c r="G125" s="95"/>
      <c r="O125" s="306">
        <f t="shared" ref="O125" si="4">O123+1</f>
        <v>4</v>
      </c>
      <c r="P125" s="308">
        <v>0</v>
      </c>
      <c r="Q125" s="310">
        <v>0.09</v>
      </c>
      <c r="R125" s="531">
        <f>R123*10%+(R123)</f>
        <v>7.5654039999999991</v>
      </c>
      <c r="S125" s="312" t="s">
        <v>742</v>
      </c>
      <c r="T125" s="527">
        <f>R125/((1+0.09)^4)</f>
        <v>5.3595229254934811</v>
      </c>
      <c r="V125" s="110"/>
    </row>
    <row r="126" spans="4:23" ht="15" thickBot="1">
      <c r="D126" s="87">
        <v>6</v>
      </c>
      <c r="E126" s="91"/>
      <c r="F126" s="98"/>
      <c r="G126" s="95"/>
      <c r="O126" s="395"/>
      <c r="P126" s="324"/>
      <c r="Q126" s="311"/>
      <c r="R126" s="532"/>
      <c r="S126" s="325"/>
      <c r="T126" s="528"/>
      <c r="V126" s="110"/>
    </row>
    <row r="127" spans="4:23">
      <c r="D127" s="87">
        <v>7</v>
      </c>
      <c r="E127" s="91"/>
      <c r="F127" s="98"/>
      <c r="G127" s="95"/>
      <c r="O127" s="306">
        <f t="shared" ref="O127" si="5">O125+1</f>
        <v>5</v>
      </c>
      <c r="P127" s="308">
        <v>0</v>
      </c>
      <c r="Q127" s="310">
        <v>0.09</v>
      </c>
      <c r="R127" s="531">
        <f t="shared" ref="R127" si="6">R125*10%+(R125)</f>
        <v>8.3219443999999996</v>
      </c>
      <c r="S127" s="312" t="s">
        <v>743</v>
      </c>
      <c r="T127" s="527">
        <f>R127/((1+0.09)^5)</f>
        <v>5.4086928605897509</v>
      </c>
      <c r="V127" s="73"/>
      <c r="W127" s="110"/>
    </row>
    <row r="128" spans="4:23" ht="15" thickBot="1">
      <c r="D128" s="87">
        <v>8</v>
      </c>
      <c r="E128" s="91"/>
      <c r="F128" s="98"/>
      <c r="G128" s="95"/>
      <c r="O128" s="395"/>
      <c r="P128" s="324"/>
      <c r="Q128" s="311"/>
      <c r="R128" s="532"/>
      <c r="S128" s="325"/>
      <c r="T128" s="528"/>
    </row>
    <row r="129" spans="4:23">
      <c r="D129" s="87">
        <v>9</v>
      </c>
      <c r="E129" s="91"/>
      <c r="F129" s="98"/>
      <c r="G129" s="95"/>
      <c r="O129" s="306">
        <f t="shared" ref="O129" si="7">O127+1</f>
        <v>6</v>
      </c>
      <c r="P129" s="308">
        <v>0</v>
      </c>
      <c r="Q129" s="310">
        <v>0.09</v>
      </c>
      <c r="R129" s="531">
        <f>R127*10%+(R127)</f>
        <v>9.1541388399999999</v>
      </c>
      <c r="S129" s="312" t="s">
        <v>744</v>
      </c>
      <c r="T129" s="527">
        <f>R129/((1+0.09)^6)</f>
        <v>5.4583138960080051</v>
      </c>
    </row>
    <row r="130" spans="4:23" ht="15" thickBot="1">
      <c r="D130" s="88">
        <v>10</v>
      </c>
      <c r="E130" s="92"/>
      <c r="F130" s="99"/>
      <c r="G130" s="96"/>
      <c r="O130" s="395"/>
      <c r="P130" s="324"/>
      <c r="Q130" s="311"/>
      <c r="R130" s="532"/>
      <c r="S130" s="325"/>
      <c r="T130" s="528"/>
    </row>
    <row r="131" spans="4:23">
      <c r="O131" s="306">
        <f t="shared" ref="O131" si="8">O129+1</f>
        <v>7</v>
      </c>
      <c r="P131" s="308">
        <v>0</v>
      </c>
      <c r="Q131" s="310">
        <v>0.09</v>
      </c>
      <c r="R131" s="531">
        <f t="shared" ref="R131" si="9">R129*10%+(R129)</f>
        <v>10.069552723999999</v>
      </c>
      <c r="S131" s="312" t="s">
        <v>745</v>
      </c>
      <c r="T131" s="527">
        <f>R131/((1+0.09)^7)</f>
        <v>5.5083901702833078</v>
      </c>
      <c r="V131" s="73"/>
      <c r="W131" s="110"/>
    </row>
    <row r="132" spans="4:23" ht="15" thickBot="1">
      <c r="O132" s="395"/>
      <c r="P132" s="324"/>
      <c r="Q132" s="311"/>
      <c r="R132" s="532"/>
      <c r="S132" s="325"/>
      <c r="T132" s="528"/>
      <c r="V132" s="73"/>
    </row>
    <row r="133" spans="4:23">
      <c r="O133" s="306">
        <f t="shared" ref="O133" si="10">O131+1</f>
        <v>8</v>
      </c>
      <c r="P133" s="308">
        <v>0</v>
      </c>
      <c r="Q133" s="310">
        <v>0.09</v>
      </c>
      <c r="R133" s="531">
        <f t="shared" ref="R133" si="11">R131*10%+(R131)</f>
        <v>11.0765079964</v>
      </c>
      <c r="S133" s="312" t="s">
        <v>746</v>
      </c>
      <c r="T133" s="527">
        <f>R133/((1+0.09)^8)</f>
        <v>5.5589258599189346</v>
      </c>
    </row>
    <row r="134" spans="4:23" ht="15" thickBot="1">
      <c r="O134" s="395"/>
      <c r="P134" s="324"/>
      <c r="Q134" s="311"/>
      <c r="R134" s="532"/>
      <c r="S134" s="325"/>
      <c r="T134" s="528"/>
      <c r="V134" s="292"/>
      <c r="W134" s="110"/>
    </row>
    <row r="135" spans="4:23">
      <c r="O135" s="306">
        <f t="shared" ref="O135:O167" si="12">O133+1</f>
        <v>9</v>
      </c>
      <c r="P135" s="308">
        <v>0</v>
      </c>
      <c r="Q135" s="310">
        <v>0.09</v>
      </c>
      <c r="R135" s="531">
        <f t="shared" ref="R135" si="13">R133*10%+(R133)</f>
        <v>12.18415879604</v>
      </c>
      <c r="S135" s="312" t="s">
        <v>747</v>
      </c>
      <c r="T135" s="527">
        <f>R135/((1+0.09)^9)</f>
        <v>5.6099251797347041</v>
      </c>
      <c r="W135" s="110"/>
    </row>
    <row r="136" spans="4:23" ht="15" thickBot="1">
      <c r="O136" s="395"/>
      <c r="P136" s="324"/>
      <c r="Q136" s="311"/>
      <c r="R136" s="532"/>
      <c r="S136" s="325"/>
      <c r="T136" s="528"/>
    </row>
    <row r="137" spans="4:23">
      <c r="O137" s="306">
        <f t="shared" si="12"/>
        <v>10</v>
      </c>
      <c r="P137" s="308">
        <v>0</v>
      </c>
      <c r="Q137" s="310">
        <v>0.09</v>
      </c>
      <c r="R137" s="531">
        <f t="shared" ref="R137" si="14">R135*10%+(R135)</f>
        <v>13.402574675644001</v>
      </c>
      <c r="S137" s="312" t="s">
        <v>748</v>
      </c>
      <c r="T137" s="527">
        <f>R137/((1+0.09)^10)</f>
        <v>5.6613923832185087</v>
      </c>
    </row>
    <row r="138" spans="4:23" ht="15" thickBot="1">
      <c r="O138" s="307"/>
      <c r="P138" s="309"/>
      <c r="Q138" s="311"/>
      <c r="R138" s="532"/>
      <c r="S138" s="313"/>
      <c r="T138" s="528"/>
      <c r="V138" s="291"/>
    </row>
    <row r="139" spans="4:23" ht="24.5" customHeight="1">
      <c r="O139" s="306">
        <f t="shared" si="12"/>
        <v>11</v>
      </c>
      <c r="P139" s="308">
        <v>0</v>
      </c>
      <c r="Q139" s="310">
        <v>0.09</v>
      </c>
      <c r="R139" s="531">
        <f t="shared" ref="R139" si="15">R137*10%+(R137)</f>
        <v>14.742832143208402</v>
      </c>
      <c r="S139" s="312" t="s">
        <v>750</v>
      </c>
      <c r="T139" s="527">
        <f>R139/((1+0.09)^11)</f>
        <v>5.7133317628810643</v>
      </c>
    </row>
    <row r="140" spans="4:23" ht="5.5" customHeight="1" thickBot="1">
      <c r="O140" s="307"/>
      <c r="P140" s="309"/>
      <c r="Q140" s="311"/>
      <c r="R140" s="532"/>
      <c r="S140" s="313"/>
      <c r="T140" s="528"/>
    </row>
    <row r="141" spans="4:23">
      <c r="O141" s="306">
        <f t="shared" si="12"/>
        <v>12</v>
      </c>
      <c r="P141" s="308">
        <v>0</v>
      </c>
      <c r="Q141" s="310">
        <v>0.09</v>
      </c>
      <c r="R141" s="531">
        <f t="shared" ref="R141" si="16">R139*10%+(R139)</f>
        <v>16.217115357529241</v>
      </c>
      <c r="S141" s="312" t="s">
        <v>751</v>
      </c>
      <c r="T141" s="527">
        <f>R141/((1+0.09)^12)</f>
        <v>5.7657476506139185</v>
      </c>
    </row>
    <row r="142" spans="4:23" ht="15" thickBot="1">
      <c r="O142" s="307"/>
      <c r="P142" s="309"/>
      <c r="Q142" s="311"/>
      <c r="R142" s="532"/>
      <c r="S142" s="313"/>
      <c r="T142" s="528"/>
    </row>
    <row r="143" spans="4:23">
      <c r="O143" s="306">
        <f t="shared" si="12"/>
        <v>13</v>
      </c>
      <c r="P143" s="308">
        <v>0</v>
      </c>
      <c r="Q143" s="310">
        <v>0.09</v>
      </c>
      <c r="R143" s="531">
        <f t="shared" ref="R143" si="17">R141*10%+(R141)</f>
        <v>17.838826893282167</v>
      </c>
      <c r="S143" s="312" t="s">
        <v>752</v>
      </c>
      <c r="T143" s="527">
        <f>R143/((1+0.09)^13)</f>
        <v>5.8186444180507424</v>
      </c>
    </row>
    <row r="144" spans="4:23" ht="15" thickBot="1">
      <c r="O144" s="307"/>
      <c r="P144" s="309"/>
      <c r="Q144" s="311"/>
      <c r="R144" s="532"/>
      <c r="S144" s="313"/>
      <c r="T144" s="528"/>
    </row>
    <row r="145" spans="9:20">
      <c r="O145" s="306">
        <f t="shared" si="12"/>
        <v>14</v>
      </c>
      <c r="P145" s="308">
        <v>0</v>
      </c>
      <c r="Q145" s="310">
        <v>0.09</v>
      </c>
      <c r="R145" s="531">
        <f t="shared" ref="R145" si="18">R143*10%+(R143)</f>
        <v>19.622709582610383</v>
      </c>
      <c r="S145" s="312" t="s">
        <v>753</v>
      </c>
      <c r="T145" s="527">
        <f>R145/((1+0.09)^14)</f>
        <v>5.8720264769319419</v>
      </c>
    </row>
    <row r="146" spans="9:20" ht="15" thickBot="1">
      <c r="O146" s="307"/>
      <c r="P146" s="309"/>
      <c r="Q146" s="311"/>
      <c r="R146" s="532"/>
      <c r="S146" s="313"/>
      <c r="T146" s="528"/>
    </row>
    <row r="147" spans="9:20">
      <c r="O147" s="306">
        <f t="shared" si="12"/>
        <v>15</v>
      </c>
      <c r="P147" s="308">
        <v>0</v>
      </c>
      <c r="Q147" s="310">
        <v>0.09</v>
      </c>
      <c r="R147" s="531">
        <f t="shared" ref="R147" si="19">R145*10%+(R145)</f>
        <v>21.58498054087142</v>
      </c>
      <c r="S147" s="312" t="s">
        <v>754</v>
      </c>
      <c r="T147" s="527">
        <f>R147/((1+0.09)^15)</f>
        <v>5.9258982794726007</v>
      </c>
    </row>
    <row r="148" spans="9:20" ht="15" thickBot="1">
      <c r="O148" s="307"/>
      <c r="P148" s="309"/>
      <c r="Q148" s="311"/>
      <c r="R148" s="532"/>
      <c r="S148" s="313"/>
      <c r="T148" s="528"/>
    </row>
    <row r="149" spans="9:20">
      <c r="O149" s="306">
        <f t="shared" si="12"/>
        <v>16</v>
      </c>
      <c r="P149" s="308">
        <v>0</v>
      </c>
      <c r="Q149" s="310">
        <v>0.09</v>
      </c>
      <c r="R149" s="531">
        <f t="shared" ref="R149" si="20">R147*10%+(R147)</f>
        <v>23.743478594958564</v>
      </c>
      <c r="S149" s="312" t="s">
        <v>755</v>
      </c>
      <c r="T149" s="527">
        <f>R149/((1+0.09)^16)</f>
        <v>5.9802643187338171</v>
      </c>
    </row>
    <row r="150" spans="9:20" ht="15" thickBot="1">
      <c r="O150" s="307"/>
      <c r="P150" s="309"/>
      <c r="Q150" s="311"/>
      <c r="R150" s="532"/>
      <c r="S150" s="313"/>
      <c r="T150" s="528"/>
    </row>
    <row r="151" spans="9:20">
      <c r="O151" s="306">
        <f t="shared" si="12"/>
        <v>17</v>
      </c>
      <c r="P151" s="308">
        <v>0</v>
      </c>
      <c r="Q151" s="310">
        <v>0.09</v>
      </c>
      <c r="R151" s="531">
        <f t="shared" ref="R151" si="21">R149*10%+(R149)</f>
        <v>26.11782645445442</v>
      </c>
      <c r="S151" s="312" t="s">
        <v>756</v>
      </c>
      <c r="T151" s="527">
        <f>R151/((1+0.09)^17)</f>
        <v>6.0351291289974309</v>
      </c>
    </row>
    <row r="152" spans="9:20" ht="15" thickBot="1">
      <c r="O152" s="307"/>
      <c r="P152" s="309"/>
      <c r="Q152" s="311"/>
      <c r="R152" s="532"/>
      <c r="S152" s="313"/>
      <c r="T152" s="528"/>
    </row>
    <row r="153" spans="9:20">
      <c r="O153" s="306">
        <f t="shared" si="12"/>
        <v>18</v>
      </c>
      <c r="P153" s="308">
        <v>0</v>
      </c>
      <c r="Q153" s="310">
        <v>0.09</v>
      </c>
      <c r="R153" s="531">
        <f t="shared" ref="R153" si="22">R151*10%+(R151)</f>
        <v>28.729609099899861</v>
      </c>
      <c r="S153" s="312" t="s">
        <v>757</v>
      </c>
      <c r="T153" s="527">
        <f>R153/((1+0.09)^18)</f>
        <v>6.0904972861441946</v>
      </c>
    </row>
    <row r="154" spans="9:20" ht="15" thickBot="1">
      <c r="O154" s="307"/>
      <c r="P154" s="309"/>
      <c r="Q154" s="311"/>
      <c r="R154" s="532"/>
      <c r="S154" s="313"/>
      <c r="T154" s="528"/>
    </row>
    <row r="155" spans="9:20">
      <c r="O155" s="306">
        <f t="shared" si="12"/>
        <v>19</v>
      </c>
      <c r="P155" s="308">
        <v>0</v>
      </c>
      <c r="Q155" s="310">
        <v>0.09</v>
      </c>
      <c r="R155" s="531">
        <f t="shared" ref="R155" si="23">R153*10%+(R153)</f>
        <v>31.602570009889845</v>
      </c>
      <c r="S155" s="312" t="s">
        <v>758</v>
      </c>
      <c r="T155" s="527">
        <f>R155/((1+0.09)^19)</f>
        <v>6.1463734080354255</v>
      </c>
    </row>
    <row r="156" spans="9:20" ht="15" thickBot="1">
      <c r="I156" s="210"/>
      <c r="O156" s="307"/>
      <c r="P156" s="309"/>
      <c r="Q156" s="311"/>
      <c r="R156" s="532"/>
      <c r="S156" s="313"/>
      <c r="T156" s="528"/>
    </row>
    <row r="157" spans="9:20">
      <c r="I157" s="210"/>
      <c r="O157" s="306">
        <f t="shared" si="12"/>
        <v>20</v>
      </c>
      <c r="P157" s="308">
        <v>0</v>
      </c>
      <c r="Q157" s="310">
        <v>0.09</v>
      </c>
      <c r="R157" s="531">
        <f t="shared" ref="R157" si="24">R155*10%+(R155)</f>
        <v>34.76282701087883</v>
      </c>
      <c r="S157" s="312" t="s">
        <v>759</v>
      </c>
      <c r="T157" s="527">
        <f>R157/((1+0.09)^20)</f>
        <v>6.202762154898136</v>
      </c>
    </row>
    <row r="158" spans="9:20" ht="15" thickBot="1">
      <c r="I158" s="210"/>
      <c r="O158" s="307"/>
      <c r="P158" s="309"/>
      <c r="Q158" s="311"/>
      <c r="R158" s="532"/>
      <c r="S158" s="313"/>
      <c r="T158" s="528"/>
    </row>
    <row r="159" spans="9:20">
      <c r="I159" s="210"/>
      <c r="O159" s="306">
        <f t="shared" si="12"/>
        <v>21</v>
      </c>
      <c r="P159" s="308">
        <v>0</v>
      </c>
      <c r="Q159" s="310">
        <v>0.09</v>
      </c>
      <c r="R159" s="531">
        <f t="shared" ref="R159" si="25">R157*10%+(R157)</f>
        <v>38.239109711966712</v>
      </c>
      <c r="S159" s="312" t="s">
        <v>760</v>
      </c>
      <c r="T159" s="527">
        <f>R159/((1+0.09)^21)</f>
        <v>6.2596682297137143</v>
      </c>
    </row>
    <row r="160" spans="9:20" ht="15" thickBot="1">
      <c r="I160" s="210"/>
      <c r="O160" s="307"/>
      <c r="P160" s="309"/>
      <c r="Q160" s="311"/>
      <c r="R160" s="532"/>
      <c r="S160" s="313"/>
      <c r="T160" s="528"/>
    </row>
    <row r="161" spans="4:20">
      <c r="I161" s="210"/>
      <c r="O161" s="306">
        <f t="shared" si="12"/>
        <v>22</v>
      </c>
      <c r="P161" s="308">
        <v>0</v>
      </c>
      <c r="Q161" s="310">
        <v>0.09</v>
      </c>
      <c r="R161" s="531">
        <f t="shared" ref="R161" si="26">R159*10%+(R159)</f>
        <v>42.063020683163387</v>
      </c>
      <c r="S161" s="312" t="s">
        <v>761</v>
      </c>
      <c r="T161" s="527">
        <f>R161/((1+0.09)^22)</f>
        <v>6.3170963786101701</v>
      </c>
    </row>
    <row r="162" spans="4:20" ht="15" thickBot="1">
      <c r="D162" s="413" t="s">
        <v>134</v>
      </c>
      <c r="E162" s="414"/>
      <c r="F162" s="415"/>
      <c r="G162" s="413" t="s">
        <v>147</v>
      </c>
      <c r="H162" s="415"/>
      <c r="I162" s="193"/>
      <c r="O162" s="307"/>
      <c r="P162" s="309"/>
      <c r="Q162" s="311"/>
      <c r="R162" s="532"/>
      <c r="S162" s="313"/>
      <c r="T162" s="528"/>
    </row>
    <row r="163" spans="4:20">
      <c r="D163" s="416" t="s">
        <v>340</v>
      </c>
      <c r="E163" s="417" t="s">
        <v>135</v>
      </c>
      <c r="F163" s="418"/>
      <c r="G163" s="423" t="s">
        <v>141</v>
      </c>
      <c r="H163" s="424"/>
      <c r="I163" s="278"/>
      <c r="O163" s="306">
        <f t="shared" si="12"/>
        <v>23</v>
      </c>
      <c r="P163" s="308">
        <v>0</v>
      </c>
      <c r="Q163" s="310">
        <v>0.09</v>
      </c>
      <c r="R163" s="531">
        <f t="shared" ref="R163" si="27">R161*10%+(R161)</f>
        <v>46.269322751479727</v>
      </c>
      <c r="S163" s="312" t="s">
        <v>762</v>
      </c>
      <c r="T163" s="527">
        <f>R163/((1+0.09)^23)</f>
        <v>6.3750513912579709</v>
      </c>
    </row>
    <row r="164" spans="4:20" ht="15" thickBot="1">
      <c r="D164" s="416"/>
      <c r="E164" s="419" t="s">
        <v>136</v>
      </c>
      <c r="F164" s="420"/>
      <c r="G164" s="423" t="s">
        <v>142</v>
      </c>
      <c r="H164" s="424"/>
      <c r="I164" s="278"/>
      <c r="L164" s="81"/>
      <c r="O164" s="307"/>
      <c r="P164" s="309"/>
      <c r="Q164" s="311"/>
      <c r="R164" s="532"/>
      <c r="S164" s="313"/>
      <c r="T164" s="528"/>
    </row>
    <row r="165" spans="4:20">
      <c r="D165" s="416"/>
      <c r="E165" s="419" t="s">
        <v>137</v>
      </c>
      <c r="F165" s="420"/>
      <c r="G165" s="423" t="s">
        <v>143</v>
      </c>
      <c r="H165" s="424"/>
      <c r="I165" s="278"/>
      <c r="O165" s="306">
        <f t="shared" si="12"/>
        <v>24</v>
      </c>
      <c r="P165" s="308">
        <v>0</v>
      </c>
      <c r="Q165" s="310">
        <v>0.09</v>
      </c>
      <c r="R165" s="531">
        <f t="shared" ref="R165" si="28">R163*10%+(R163)</f>
        <v>50.896255026627699</v>
      </c>
      <c r="S165" s="312" t="s">
        <v>763</v>
      </c>
      <c r="T165" s="527">
        <f>R165/((1+0.09)^24)</f>
        <v>6.4335381012695105</v>
      </c>
    </row>
    <row r="166" spans="4:20" ht="15" thickBot="1">
      <c r="D166" s="416"/>
      <c r="E166" s="419" t="s">
        <v>138</v>
      </c>
      <c r="F166" s="420"/>
      <c r="G166" s="423" t="s">
        <v>144</v>
      </c>
      <c r="H166" s="424"/>
      <c r="I166" s="278"/>
      <c r="O166" s="307"/>
      <c r="P166" s="309"/>
      <c r="Q166" s="311"/>
      <c r="R166" s="532"/>
      <c r="S166" s="313"/>
      <c r="T166" s="528"/>
    </row>
    <row r="167" spans="4:20">
      <c r="D167" s="416"/>
      <c r="E167" s="419" t="s">
        <v>139</v>
      </c>
      <c r="F167" s="420"/>
      <c r="G167" s="423" t="s">
        <v>145</v>
      </c>
      <c r="H167" s="424"/>
      <c r="I167" s="278"/>
      <c r="O167" s="306">
        <f t="shared" si="12"/>
        <v>25</v>
      </c>
      <c r="P167" s="308">
        <v>0</v>
      </c>
      <c r="Q167" s="310">
        <v>0.09</v>
      </c>
      <c r="R167" s="531">
        <f t="shared" ref="R167" si="29">R165*10%+(R165)</f>
        <v>55.985880529290469</v>
      </c>
      <c r="S167" s="312" t="s">
        <v>764</v>
      </c>
      <c r="T167" s="527">
        <f>R167/((1+0.09)^25)</f>
        <v>6.492561386602258</v>
      </c>
    </row>
    <row r="168" spans="4:20" ht="15" thickBot="1">
      <c r="D168" s="416"/>
      <c r="E168" s="421" t="s">
        <v>140</v>
      </c>
      <c r="F168" s="422"/>
      <c r="G168" s="425" t="s">
        <v>146</v>
      </c>
      <c r="H168" s="426"/>
      <c r="I168" s="278"/>
      <c r="O168" s="395"/>
      <c r="P168" s="324"/>
      <c r="Q168" s="311"/>
      <c r="R168" s="532"/>
      <c r="S168" s="325"/>
      <c r="T168" s="528"/>
    </row>
    <row r="169" spans="4:20">
      <c r="D169" s="429"/>
      <c r="E169" s="430"/>
      <c r="F169" s="431"/>
      <c r="G169" s="413" t="s">
        <v>199</v>
      </c>
      <c r="H169" s="415"/>
      <c r="I169" s="193"/>
      <c r="T169" s="292"/>
    </row>
    <row r="170" spans="4:20">
      <c r="D170" s="432" t="s">
        <v>148</v>
      </c>
      <c r="E170" s="419" t="s">
        <v>149</v>
      </c>
      <c r="F170" s="420"/>
      <c r="G170" s="423" t="s">
        <v>151</v>
      </c>
      <c r="H170" s="424"/>
      <c r="I170" s="278"/>
    </row>
    <row r="171" spans="4:20">
      <c r="D171" s="433"/>
      <c r="E171" s="419" t="s">
        <v>150</v>
      </c>
      <c r="F171" s="420"/>
      <c r="G171" s="423" t="s">
        <v>152</v>
      </c>
      <c r="H171" s="424"/>
      <c r="I171" s="278"/>
    </row>
    <row r="172" spans="4:20">
      <c r="D172" s="429"/>
      <c r="E172" s="430"/>
      <c r="F172" s="431"/>
      <c r="G172" s="413" t="s">
        <v>153</v>
      </c>
      <c r="H172" s="415"/>
      <c r="I172" s="193"/>
    </row>
    <row r="173" spans="4:20">
      <c r="D173" s="436" t="s">
        <v>154</v>
      </c>
      <c r="E173" s="417" t="s">
        <v>155</v>
      </c>
      <c r="F173" s="439"/>
      <c r="G173" s="434" t="s">
        <v>178</v>
      </c>
      <c r="H173" s="435"/>
      <c r="I173" s="278"/>
    </row>
    <row r="174" spans="4:20">
      <c r="D174" s="437"/>
      <c r="E174" s="419" t="s">
        <v>156</v>
      </c>
      <c r="F174" s="427"/>
      <c r="G174" s="423" t="s">
        <v>180</v>
      </c>
      <c r="H174" s="424"/>
      <c r="I174" s="278"/>
    </row>
    <row r="175" spans="4:20">
      <c r="D175" s="437"/>
      <c r="E175" s="419" t="s">
        <v>157</v>
      </c>
      <c r="F175" s="427"/>
      <c r="G175" s="423" t="s">
        <v>179</v>
      </c>
      <c r="H175" s="424"/>
      <c r="I175" s="278"/>
    </row>
    <row r="176" spans="4:20">
      <c r="D176" s="437"/>
      <c r="E176" s="419" t="s">
        <v>158</v>
      </c>
      <c r="F176" s="427"/>
      <c r="G176" s="423" t="s">
        <v>181</v>
      </c>
      <c r="H176" s="424"/>
      <c r="I176" s="278"/>
    </row>
    <row r="177" spans="4:9">
      <c r="D177" s="437"/>
      <c r="E177" s="419" t="s">
        <v>159</v>
      </c>
      <c r="F177" s="427"/>
      <c r="G177" s="423" t="s">
        <v>182</v>
      </c>
      <c r="H177" s="424"/>
      <c r="I177" s="278"/>
    </row>
    <row r="178" spans="4:9">
      <c r="D178" s="437"/>
      <c r="E178" s="419" t="s">
        <v>160</v>
      </c>
      <c r="F178" s="427"/>
      <c r="G178" s="423" t="s">
        <v>185</v>
      </c>
      <c r="H178" s="424"/>
      <c r="I178" s="278"/>
    </row>
    <row r="179" spans="4:9">
      <c r="D179" s="437"/>
      <c r="E179" s="419" t="s">
        <v>161</v>
      </c>
      <c r="F179" s="427"/>
      <c r="G179" s="423" t="s">
        <v>183</v>
      </c>
      <c r="H179" s="424"/>
      <c r="I179" s="278"/>
    </row>
    <row r="180" spans="4:9">
      <c r="D180" s="438"/>
      <c r="E180" s="421" t="s">
        <v>162</v>
      </c>
      <c r="F180" s="428"/>
      <c r="G180" s="425" t="s">
        <v>184</v>
      </c>
      <c r="H180" s="426"/>
      <c r="I180" s="278"/>
    </row>
    <row r="181" spans="4:9">
      <c r="D181" s="429"/>
      <c r="E181" s="430"/>
      <c r="F181" s="431"/>
      <c r="G181" s="413" t="s">
        <v>291</v>
      </c>
      <c r="H181" s="415"/>
      <c r="I181" s="193"/>
    </row>
    <row r="182" spans="4:9">
      <c r="D182" s="436" t="s">
        <v>186</v>
      </c>
      <c r="E182" s="417" t="s">
        <v>186</v>
      </c>
      <c r="F182" s="439"/>
      <c r="G182" s="434" t="s">
        <v>188</v>
      </c>
      <c r="H182" s="435"/>
      <c r="I182" s="278"/>
    </row>
    <row r="183" spans="4:9">
      <c r="D183" s="438"/>
      <c r="E183" s="421" t="s">
        <v>187</v>
      </c>
      <c r="F183" s="428"/>
      <c r="G183" s="425" t="s">
        <v>189</v>
      </c>
      <c r="H183" s="426"/>
      <c r="I183" s="278"/>
    </row>
    <row r="184" spans="4:9">
      <c r="D184" s="429"/>
      <c r="E184" s="430"/>
      <c r="F184" s="431"/>
      <c r="G184" s="413" t="s">
        <v>194</v>
      </c>
      <c r="H184" s="415"/>
      <c r="I184" s="193"/>
    </row>
    <row r="185" spans="4:9">
      <c r="D185" s="436" t="s">
        <v>190</v>
      </c>
      <c r="E185" s="417" t="s">
        <v>192</v>
      </c>
      <c r="F185" s="439"/>
      <c r="G185" s="434" t="s">
        <v>195</v>
      </c>
      <c r="H185" s="435"/>
      <c r="I185" s="278"/>
    </row>
    <row r="186" spans="4:9">
      <c r="D186" s="438"/>
      <c r="E186" s="421" t="s">
        <v>193</v>
      </c>
      <c r="F186" s="428"/>
      <c r="G186" s="423" t="s">
        <v>191</v>
      </c>
      <c r="H186" s="424"/>
      <c r="I186" s="278"/>
    </row>
    <row r="187" spans="4:9">
      <c r="D187" s="458" t="s">
        <v>197</v>
      </c>
      <c r="E187" s="459"/>
      <c r="F187" s="459"/>
      <c r="G187" s="456" t="s">
        <v>196</v>
      </c>
      <c r="H187" s="457"/>
      <c r="I187" s="193"/>
    </row>
    <row r="188" spans="4:9">
      <c r="D188" s="460" t="s">
        <v>198</v>
      </c>
      <c r="E188" s="461"/>
      <c r="F188" s="461"/>
      <c r="G188" s="462" t="s">
        <v>200</v>
      </c>
      <c r="H188" s="463"/>
      <c r="I188" s="193"/>
    </row>
    <row r="189" spans="4:9">
      <c r="I189" s="210"/>
    </row>
    <row r="190" spans="4:9">
      <c r="I190" s="210"/>
    </row>
    <row r="191" spans="4:9">
      <c r="I191" s="210"/>
    </row>
    <row r="192" spans="4:9">
      <c r="I192" s="210"/>
    </row>
    <row r="193" spans="4:9">
      <c r="I193" s="210"/>
    </row>
    <row r="194" spans="4:9">
      <c r="D194" s="118" t="s">
        <v>0</v>
      </c>
      <c r="E194" s="118" t="s">
        <v>1</v>
      </c>
      <c r="F194" s="118" t="s">
        <v>2</v>
      </c>
      <c r="G194" s="118" t="s">
        <v>3</v>
      </c>
      <c r="H194" s="118" t="s">
        <v>4</v>
      </c>
      <c r="I194" s="276"/>
    </row>
    <row r="195" spans="4:9" ht="26">
      <c r="D195" s="440" t="s">
        <v>5</v>
      </c>
      <c r="E195" s="119" t="s">
        <v>6</v>
      </c>
      <c r="F195" s="451" t="s">
        <v>163</v>
      </c>
      <c r="G195" s="452">
        <v>84</v>
      </c>
      <c r="H195" s="452" t="s">
        <v>164</v>
      </c>
      <c r="I195" s="218"/>
    </row>
    <row r="196" spans="4:9" ht="21">
      <c r="D196" s="441"/>
      <c r="E196" s="120" t="s">
        <v>7</v>
      </c>
      <c r="F196" s="444"/>
      <c r="G196" s="446"/>
      <c r="H196" s="446"/>
      <c r="I196" s="218"/>
    </row>
    <row r="197" spans="4:9">
      <c r="D197" s="441"/>
      <c r="E197" s="121" t="s">
        <v>10</v>
      </c>
      <c r="F197" s="451" t="s">
        <v>12</v>
      </c>
      <c r="G197" s="452">
        <v>45</v>
      </c>
      <c r="H197" s="452" t="s">
        <v>13</v>
      </c>
      <c r="I197" s="218"/>
    </row>
    <row r="198" spans="4:9" ht="21">
      <c r="D198" s="441"/>
      <c r="E198" s="120" t="s">
        <v>11</v>
      </c>
      <c r="F198" s="444"/>
      <c r="G198" s="446"/>
      <c r="H198" s="446"/>
      <c r="I198" s="218"/>
    </row>
    <row r="199" spans="4:9" ht="26">
      <c r="D199" s="441"/>
      <c r="E199" s="122" t="s">
        <v>14</v>
      </c>
      <c r="F199" s="451" t="s">
        <v>72</v>
      </c>
      <c r="G199" s="452">
        <v>20</v>
      </c>
      <c r="H199" s="452" t="s">
        <v>17</v>
      </c>
      <c r="I199" s="218"/>
    </row>
    <row r="200" spans="4:9">
      <c r="D200" s="442"/>
      <c r="E200" s="123" t="s">
        <v>15</v>
      </c>
      <c r="F200" s="444"/>
      <c r="G200" s="446"/>
      <c r="H200" s="446"/>
      <c r="I200" s="218"/>
    </row>
    <row r="201" spans="4:9">
      <c r="D201" s="440" t="s">
        <v>18</v>
      </c>
      <c r="E201" s="124" t="s">
        <v>165</v>
      </c>
      <c r="F201" s="125" t="s">
        <v>166</v>
      </c>
      <c r="G201" s="126">
        <v>840</v>
      </c>
      <c r="H201" s="126" t="s">
        <v>167</v>
      </c>
      <c r="I201" s="218"/>
    </row>
    <row r="202" spans="4:9">
      <c r="D202" s="441"/>
      <c r="E202" s="121" t="s">
        <v>10</v>
      </c>
      <c r="F202" s="443" t="s">
        <v>12</v>
      </c>
      <c r="G202" s="445">
        <v>15</v>
      </c>
      <c r="H202" s="445" t="s">
        <v>168</v>
      </c>
      <c r="I202" s="218"/>
    </row>
    <row r="203" spans="4:9" ht="31.5">
      <c r="D203" s="442"/>
      <c r="E203" s="123" t="s">
        <v>22</v>
      </c>
      <c r="F203" s="444"/>
      <c r="G203" s="446"/>
      <c r="H203" s="446"/>
      <c r="I203" s="218"/>
    </row>
    <row r="204" spans="4:9">
      <c r="D204" s="440" t="s">
        <v>24</v>
      </c>
      <c r="E204" s="119" t="s">
        <v>25</v>
      </c>
      <c r="F204" s="447">
        <v>104640</v>
      </c>
      <c r="G204" s="449">
        <v>159.6</v>
      </c>
      <c r="H204" s="449" t="s">
        <v>27</v>
      </c>
      <c r="I204" s="218"/>
    </row>
    <row r="205" spans="4:9">
      <c r="D205" s="441"/>
      <c r="E205" s="120" t="s">
        <v>26</v>
      </c>
      <c r="F205" s="448"/>
      <c r="G205" s="450"/>
      <c r="H205" s="450"/>
      <c r="I205" s="218"/>
    </row>
    <row r="206" spans="4:9">
      <c r="D206" s="441"/>
      <c r="E206" s="121" t="s">
        <v>10</v>
      </c>
      <c r="F206" s="451" t="s">
        <v>12</v>
      </c>
      <c r="G206" s="452">
        <v>30</v>
      </c>
      <c r="H206" s="452" t="s">
        <v>29</v>
      </c>
      <c r="I206" s="218"/>
    </row>
    <row r="207" spans="4:9" ht="31.5">
      <c r="D207" s="442"/>
      <c r="E207" s="123" t="s">
        <v>28</v>
      </c>
      <c r="F207" s="444"/>
      <c r="G207" s="446"/>
      <c r="H207" s="446"/>
      <c r="I207" s="218"/>
    </row>
    <row r="208" spans="4:9">
      <c r="D208" s="440" t="s">
        <v>30</v>
      </c>
      <c r="E208" s="119" t="s">
        <v>31</v>
      </c>
      <c r="F208" s="451" t="s">
        <v>33</v>
      </c>
      <c r="G208" s="452">
        <v>420</v>
      </c>
      <c r="H208" s="452" t="s">
        <v>34</v>
      </c>
      <c r="I208" s="218"/>
    </row>
    <row r="209" spans="4:9">
      <c r="D209" s="441"/>
      <c r="E209" s="127" t="s">
        <v>32</v>
      </c>
      <c r="F209" s="444"/>
      <c r="G209" s="446"/>
      <c r="H209" s="446"/>
      <c r="I209" s="218"/>
    </row>
    <row r="210" spans="4:9">
      <c r="D210" s="441"/>
      <c r="E210" s="121" t="s">
        <v>10</v>
      </c>
      <c r="F210" s="451" t="s">
        <v>12</v>
      </c>
      <c r="G210" s="452">
        <v>5</v>
      </c>
      <c r="H210" s="452" t="s">
        <v>36</v>
      </c>
      <c r="I210" s="218"/>
    </row>
    <row r="211" spans="4:9" ht="31.5">
      <c r="D211" s="442"/>
      <c r="E211" s="123" t="s">
        <v>35</v>
      </c>
      <c r="F211" s="444"/>
      <c r="G211" s="446"/>
      <c r="H211" s="446"/>
      <c r="I211" s="218"/>
    </row>
    <row r="212" spans="4:9">
      <c r="D212" s="440" t="s">
        <v>37</v>
      </c>
      <c r="E212" s="119" t="s">
        <v>38</v>
      </c>
      <c r="F212" s="451" t="s">
        <v>169</v>
      </c>
      <c r="G212" s="452" t="s">
        <v>170</v>
      </c>
      <c r="H212" s="452" t="s">
        <v>171</v>
      </c>
      <c r="I212" s="218"/>
    </row>
    <row r="213" spans="4:9" ht="21">
      <c r="D213" s="441"/>
      <c r="E213" s="120" t="s">
        <v>39</v>
      </c>
      <c r="F213" s="444"/>
      <c r="G213" s="446"/>
      <c r="H213" s="446"/>
      <c r="I213" s="218"/>
    </row>
    <row r="214" spans="4:9">
      <c r="D214" s="441"/>
      <c r="E214" s="121" t="s">
        <v>10</v>
      </c>
      <c r="F214" s="451" t="s">
        <v>12</v>
      </c>
      <c r="G214" s="452">
        <v>10</v>
      </c>
      <c r="H214" s="452" t="s">
        <v>42</v>
      </c>
      <c r="I214" s="218"/>
    </row>
    <row r="215" spans="4:9" ht="21">
      <c r="D215" s="442"/>
      <c r="E215" s="123" t="s">
        <v>41</v>
      </c>
      <c r="F215" s="444"/>
      <c r="G215" s="446"/>
      <c r="H215" s="446"/>
      <c r="I215" s="218"/>
    </row>
    <row r="216" spans="4:9">
      <c r="D216" s="440" t="s">
        <v>43</v>
      </c>
      <c r="E216" s="119" t="s">
        <v>172</v>
      </c>
      <c r="F216" s="453" t="s">
        <v>173</v>
      </c>
      <c r="G216" s="453" t="s">
        <v>174</v>
      </c>
      <c r="H216" s="449" t="s">
        <v>175</v>
      </c>
      <c r="I216" s="218"/>
    </row>
    <row r="217" spans="4:9">
      <c r="D217" s="441"/>
      <c r="E217" s="120" t="s">
        <v>176</v>
      </c>
      <c r="F217" s="454"/>
      <c r="G217" s="454"/>
      <c r="H217" s="455"/>
      <c r="I217" s="218"/>
    </row>
    <row r="218" spans="4:9">
      <c r="D218" s="441"/>
      <c r="E218" s="121" t="s">
        <v>10</v>
      </c>
      <c r="F218" s="443" t="s">
        <v>12</v>
      </c>
      <c r="G218" s="445">
        <v>5</v>
      </c>
      <c r="H218" s="445" t="s">
        <v>36</v>
      </c>
      <c r="I218" s="218"/>
    </row>
    <row r="219" spans="4:9" ht="21">
      <c r="D219" s="442"/>
      <c r="E219" s="123" t="s">
        <v>41</v>
      </c>
      <c r="F219" s="444"/>
      <c r="G219" s="446"/>
      <c r="H219" s="446"/>
      <c r="I219" s="218"/>
    </row>
    <row r="220" spans="4:9">
      <c r="D220" s="440" t="s">
        <v>46</v>
      </c>
      <c r="E220" s="119" t="s">
        <v>47</v>
      </c>
      <c r="F220" s="453" t="s">
        <v>49</v>
      </c>
      <c r="G220" s="449">
        <v>319.2</v>
      </c>
      <c r="H220" s="449" t="s">
        <v>50</v>
      </c>
      <c r="I220" s="218"/>
    </row>
    <row r="221" spans="4:9" ht="21">
      <c r="D221" s="441"/>
      <c r="E221" s="120" t="s">
        <v>48</v>
      </c>
      <c r="F221" s="454"/>
      <c r="G221" s="455"/>
      <c r="H221" s="455"/>
      <c r="I221" s="218"/>
    </row>
    <row r="222" spans="4:9" ht="21">
      <c r="D222" s="441"/>
      <c r="E222" s="128" t="s">
        <v>51</v>
      </c>
      <c r="F222" s="271" t="s">
        <v>52</v>
      </c>
      <c r="G222" s="272">
        <v>84</v>
      </c>
      <c r="H222" s="272" t="s">
        <v>53</v>
      </c>
      <c r="I222" s="218"/>
    </row>
    <row r="223" spans="4:9" ht="21">
      <c r="D223" s="442"/>
      <c r="E223" s="131" t="s">
        <v>54</v>
      </c>
      <c r="F223" s="273" t="s">
        <v>55</v>
      </c>
      <c r="G223" s="274">
        <v>84</v>
      </c>
      <c r="H223" s="274" t="s">
        <v>56</v>
      </c>
      <c r="I223" s="218"/>
    </row>
    <row r="224" spans="4:9">
      <c r="D224" s="440" t="s">
        <v>57</v>
      </c>
      <c r="E224" s="119" t="s">
        <v>58</v>
      </c>
      <c r="F224" s="451" t="s">
        <v>60</v>
      </c>
      <c r="G224" s="452">
        <v>35</v>
      </c>
      <c r="H224" s="452" t="s">
        <v>61</v>
      </c>
      <c r="I224" s="218"/>
    </row>
    <row r="225" spans="4:9" ht="42">
      <c r="D225" s="441"/>
      <c r="E225" s="127" t="s">
        <v>59</v>
      </c>
      <c r="F225" s="444"/>
      <c r="G225" s="446"/>
      <c r="H225" s="446"/>
      <c r="I225" s="218"/>
    </row>
    <row r="226" spans="4:9" ht="21">
      <c r="D226" s="441"/>
      <c r="E226" s="128" t="s">
        <v>62</v>
      </c>
      <c r="F226" s="129" t="s">
        <v>63</v>
      </c>
      <c r="G226" s="130">
        <v>35</v>
      </c>
      <c r="H226" s="130" t="s">
        <v>64</v>
      </c>
      <c r="I226" s="218"/>
    </row>
    <row r="227" spans="4:9" ht="31.5">
      <c r="D227" s="442"/>
      <c r="E227" s="131" t="s">
        <v>65</v>
      </c>
      <c r="F227" s="132" t="s">
        <v>66</v>
      </c>
      <c r="G227" s="133">
        <v>35</v>
      </c>
      <c r="H227" s="133" t="s">
        <v>67</v>
      </c>
      <c r="I227" s="218"/>
    </row>
    <row r="228" spans="4:9">
      <c r="D228" s="134" t="s">
        <v>68</v>
      </c>
      <c r="E228" s="135" t="s">
        <v>69</v>
      </c>
      <c r="F228" s="136"/>
      <c r="G228" s="137" t="s">
        <v>70</v>
      </c>
      <c r="H228" s="138" t="s">
        <v>177</v>
      </c>
      <c r="I228" s="275"/>
    </row>
    <row r="229" spans="4:9">
      <c r="I229" s="210"/>
    </row>
    <row r="230" spans="4:9">
      <c r="D230" s="413" t="s">
        <v>341</v>
      </c>
      <c r="E230" s="414"/>
      <c r="F230" s="414"/>
      <c r="G230" s="415"/>
      <c r="H230" s="116" t="s">
        <v>147</v>
      </c>
      <c r="I230" s="193"/>
    </row>
    <row r="231" spans="4:9">
      <c r="D231" s="139"/>
      <c r="E231" s="140" t="s">
        <v>201</v>
      </c>
      <c r="F231" s="140" t="s">
        <v>202</v>
      </c>
      <c r="G231" s="140" t="s">
        <v>203</v>
      </c>
      <c r="H231" s="153" t="s">
        <v>204</v>
      </c>
      <c r="I231" s="264"/>
    </row>
    <row r="232" spans="4:9">
      <c r="D232" s="436" t="s">
        <v>340</v>
      </c>
      <c r="E232" s="154" t="s">
        <v>7</v>
      </c>
      <c r="F232" s="155" t="s">
        <v>163</v>
      </c>
      <c r="G232" s="155">
        <v>84000</v>
      </c>
      <c r="H232" s="156" t="s">
        <v>221</v>
      </c>
      <c r="I232" s="265"/>
    </row>
    <row r="233" spans="4:9" ht="30.5" customHeight="1">
      <c r="D233" s="437"/>
      <c r="E233" s="141" t="s">
        <v>11</v>
      </c>
      <c r="F233" s="142" t="s">
        <v>12</v>
      </c>
      <c r="G233" s="143">
        <v>45</v>
      </c>
      <c r="H233" s="157" t="s">
        <v>222</v>
      </c>
      <c r="I233" s="266"/>
    </row>
    <row r="234" spans="4:9">
      <c r="D234" s="438"/>
      <c r="E234" s="158" t="s">
        <v>15</v>
      </c>
      <c r="F234" s="159" t="s">
        <v>72</v>
      </c>
      <c r="G234" s="159">
        <v>20</v>
      </c>
      <c r="H234" s="160" t="s">
        <v>223</v>
      </c>
      <c r="I234" s="266"/>
    </row>
    <row r="235" spans="4:9">
      <c r="D235" s="464"/>
      <c r="E235" s="465"/>
      <c r="F235" s="465"/>
      <c r="G235" s="466"/>
      <c r="H235" s="179" t="s">
        <v>224</v>
      </c>
      <c r="I235" s="267"/>
    </row>
    <row r="236" spans="4:9">
      <c r="D236" s="436" t="s">
        <v>205</v>
      </c>
      <c r="E236" s="144" t="s">
        <v>205</v>
      </c>
      <c r="F236" s="145" t="s">
        <v>166</v>
      </c>
      <c r="G236" s="146">
        <v>840</v>
      </c>
      <c r="H236" s="161" t="s">
        <v>225</v>
      </c>
      <c r="I236" s="268"/>
    </row>
    <row r="237" spans="4:9" ht="29" customHeight="1">
      <c r="D237" s="438"/>
      <c r="E237" s="162" t="s">
        <v>206</v>
      </c>
      <c r="F237" s="163" t="s">
        <v>12</v>
      </c>
      <c r="G237" s="159">
        <v>15</v>
      </c>
      <c r="H237" s="164" t="s">
        <v>226</v>
      </c>
      <c r="I237" s="269"/>
    </row>
    <row r="238" spans="4:9">
      <c r="D238" s="467"/>
      <c r="E238" s="468"/>
      <c r="F238" s="468"/>
      <c r="G238" s="469"/>
      <c r="H238" s="180" t="s">
        <v>227</v>
      </c>
      <c r="I238" s="267"/>
    </row>
    <row r="239" spans="4:9">
      <c r="D239" s="470" t="s">
        <v>207</v>
      </c>
      <c r="E239" s="165" t="s">
        <v>208</v>
      </c>
      <c r="F239" s="166">
        <v>104.64</v>
      </c>
      <c r="G239" s="167">
        <v>159600</v>
      </c>
      <c r="H239" s="181" t="s">
        <v>228</v>
      </c>
      <c r="I239" s="270"/>
    </row>
    <row r="240" spans="4:9" ht="29" customHeight="1">
      <c r="D240" s="471"/>
      <c r="E240" s="162" t="s">
        <v>209</v>
      </c>
      <c r="F240" s="163" t="s">
        <v>12</v>
      </c>
      <c r="G240" s="159">
        <v>30</v>
      </c>
      <c r="H240" s="160" t="s">
        <v>229</v>
      </c>
      <c r="I240" s="266"/>
    </row>
    <row r="241" spans="4:9">
      <c r="D241" s="464"/>
      <c r="E241" s="465"/>
      <c r="F241" s="465"/>
      <c r="G241" s="466"/>
      <c r="H241" s="179" t="s">
        <v>230</v>
      </c>
      <c r="I241" s="267"/>
    </row>
    <row r="242" spans="4:9">
      <c r="D242" s="436" t="s">
        <v>210</v>
      </c>
      <c r="E242" s="147" t="s">
        <v>211</v>
      </c>
      <c r="F242" s="143" t="s">
        <v>33</v>
      </c>
      <c r="G242" s="143">
        <v>420</v>
      </c>
      <c r="H242" s="181" t="s">
        <v>244</v>
      </c>
      <c r="I242" s="270"/>
    </row>
    <row r="243" spans="4:9" ht="29.5" customHeight="1">
      <c r="D243" s="437"/>
      <c r="E243" s="148" t="s">
        <v>35</v>
      </c>
      <c r="F243" s="142" t="s">
        <v>12</v>
      </c>
      <c r="G243" s="143">
        <v>5</v>
      </c>
      <c r="H243" s="157" t="s">
        <v>231</v>
      </c>
      <c r="I243" s="266"/>
    </row>
    <row r="244" spans="4:9">
      <c r="D244" s="168"/>
      <c r="E244" s="169"/>
      <c r="F244" s="169"/>
      <c r="G244" s="169"/>
      <c r="H244" s="182" t="s">
        <v>246</v>
      </c>
      <c r="I244" s="267"/>
    </row>
    <row r="245" spans="4:9" ht="29.5" customHeight="1">
      <c r="D245" s="436" t="s">
        <v>212</v>
      </c>
      <c r="E245" s="170" t="s">
        <v>213</v>
      </c>
      <c r="F245" s="155" t="s">
        <v>214</v>
      </c>
      <c r="G245" s="155" t="s">
        <v>215</v>
      </c>
      <c r="H245" s="177" t="s">
        <v>232</v>
      </c>
      <c r="I245" s="266"/>
    </row>
    <row r="246" spans="4:9">
      <c r="D246" s="438"/>
      <c r="E246" s="171" t="s">
        <v>41</v>
      </c>
      <c r="F246" s="163" t="s">
        <v>12</v>
      </c>
      <c r="G246" s="163">
        <v>10</v>
      </c>
      <c r="H246" s="183" t="s">
        <v>233</v>
      </c>
      <c r="I246" s="270"/>
    </row>
    <row r="247" spans="4:9">
      <c r="D247" s="168"/>
      <c r="E247" s="169"/>
      <c r="F247" s="169"/>
      <c r="G247" s="169"/>
      <c r="H247" s="182" t="s">
        <v>238</v>
      </c>
      <c r="I247" s="267"/>
    </row>
    <row r="248" spans="4:9">
      <c r="D248" s="436" t="s">
        <v>216</v>
      </c>
      <c r="E248" s="149" t="s">
        <v>217</v>
      </c>
      <c r="F248" s="142" t="s">
        <v>344</v>
      </c>
      <c r="G248" s="150">
        <v>840</v>
      </c>
      <c r="H248" s="184" t="s">
        <v>234</v>
      </c>
      <c r="I248" s="270"/>
    </row>
    <row r="249" spans="4:9">
      <c r="D249" s="437"/>
      <c r="E249" s="149" t="s">
        <v>41</v>
      </c>
      <c r="F249" s="142" t="s">
        <v>12</v>
      </c>
      <c r="G249" s="142">
        <v>5</v>
      </c>
      <c r="H249" s="184" t="s">
        <v>231</v>
      </c>
      <c r="I249" s="270"/>
    </row>
    <row r="250" spans="4:9">
      <c r="D250" s="172"/>
      <c r="E250" s="165"/>
      <c r="F250" s="165"/>
      <c r="G250" s="165"/>
      <c r="H250" s="185" t="s">
        <v>239</v>
      </c>
      <c r="I250" s="267"/>
    </row>
    <row r="251" spans="4:9" ht="33.5" customHeight="1">
      <c r="D251" s="470" t="s">
        <v>218</v>
      </c>
      <c r="E251" s="173" t="s">
        <v>235</v>
      </c>
      <c r="F251" s="155" t="s">
        <v>49</v>
      </c>
      <c r="G251" s="174">
        <v>319.2</v>
      </c>
      <c r="H251" s="177" t="s">
        <v>245</v>
      </c>
      <c r="I251" s="266"/>
    </row>
    <row r="252" spans="4:9">
      <c r="D252" s="481"/>
      <c r="E252" s="149" t="s">
        <v>51</v>
      </c>
      <c r="F252" s="142" t="s">
        <v>52</v>
      </c>
      <c r="G252" s="151">
        <v>84</v>
      </c>
      <c r="H252" s="184" t="s">
        <v>236</v>
      </c>
      <c r="I252" s="270"/>
    </row>
    <row r="253" spans="4:9">
      <c r="D253" s="471"/>
      <c r="E253" s="171" t="s">
        <v>54</v>
      </c>
      <c r="F253" s="163" t="s">
        <v>55</v>
      </c>
      <c r="G253" s="175">
        <v>84</v>
      </c>
      <c r="H253" s="183" t="s">
        <v>237</v>
      </c>
      <c r="I253" s="270"/>
    </row>
    <row r="254" spans="4:9">
      <c r="D254" s="176"/>
      <c r="E254" s="144"/>
      <c r="F254" s="144"/>
      <c r="G254" s="144"/>
      <c r="H254" s="186" t="s">
        <v>247</v>
      </c>
      <c r="I254" s="267"/>
    </row>
    <row r="255" spans="4:9" ht="36" customHeight="1">
      <c r="D255" s="436" t="s">
        <v>218</v>
      </c>
      <c r="E255" s="173" t="s">
        <v>59</v>
      </c>
      <c r="F255" s="155" t="s">
        <v>60</v>
      </c>
      <c r="G255" s="155">
        <v>35</v>
      </c>
      <c r="H255" s="177" t="s">
        <v>242</v>
      </c>
      <c r="I255" s="266"/>
    </row>
    <row r="256" spans="4:9" ht="31.5" customHeight="1">
      <c r="D256" s="437"/>
      <c r="E256" s="152" t="s">
        <v>219</v>
      </c>
      <c r="F256" s="142" t="s">
        <v>63</v>
      </c>
      <c r="G256" s="142">
        <v>35</v>
      </c>
      <c r="H256" s="157" t="s">
        <v>240</v>
      </c>
      <c r="I256" s="266"/>
    </row>
    <row r="257" spans="4:11" ht="32" customHeight="1">
      <c r="D257" s="438"/>
      <c r="E257" s="178" t="s">
        <v>65</v>
      </c>
      <c r="F257" s="163" t="s">
        <v>66</v>
      </c>
      <c r="G257" s="163">
        <v>35</v>
      </c>
      <c r="H257" s="160" t="s">
        <v>243</v>
      </c>
      <c r="I257" s="266"/>
    </row>
    <row r="258" spans="4:11">
      <c r="D258" s="168"/>
      <c r="E258" s="169"/>
      <c r="F258" s="169"/>
      <c r="G258" s="169"/>
      <c r="H258" s="182" t="s">
        <v>248</v>
      </c>
      <c r="I258" s="267"/>
    </row>
    <row r="259" spans="4:11">
      <c r="D259" s="482" t="s">
        <v>220</v>
      </c>
      <c r="E259" s="483"/>
      <c r="F259" s="483"/>
      <c r="G259" s="483"/>
      <c r="H259" s="179" t="s">
        <v>249</v>
      </c>
      <c r="I259" s="267"/>
    </row>
    <row r="260" spans="4:11">
      <c r="I260" s="210"/>
    </row>
    <row r="261" spans="4:11">
      <c r="I261" s="210"/>
    </row>
    <row r="262" spans="4:11">
      <c r="D262" s="118" t="s">
        <v>1</v>
      </c>
      <c r="E262" s="118" t="s">
        <v>3</v>
      </c>
      <c r="F262" s="118" t="s">
        <v>250</v>
      </c>
      <c r="G262" s="118" t="s">
        <v>251</v>
      </c>
      <c r="H262" s="118" t="s">
        <v>252</v>
      </c>
      <c r="I262" s="276"/>
    </row>
    <row r="263" spans="4:11">
      <c r="D263" s="187" t="s">
        <v>253</v>
      </c>
      <c r="E263" s="188">
        <v>3</v>
      </c>
      <c r="F263" s="188" t="s">
        <v>254</v>
      </c>
      <c r="G263" s="188" t="s">
        <v>255</v>
      </c>
      <c r="H263" s="188" t="s">
        <v>256</v>
      </c>
      <c r="I263" s="279"/>
      <c r="K263">
        <v>238290</v>
      </c>
    </row>
    <row r="264" spans="4:11">
      <c r="D264" s="189" t="s">
        <v>257</v>
      </c>
      <c r="E264" s="188">
        <v>3</v>
      </c>
      <c r="F264" s="188" t="s">
        <v>258</v>
      </c>
      <c r="G264" s="190">
        <v>9.4499999999999993</v>
      </c>
      <c r="H264" s="188" t="s">
        <v>259</v>
      </c>
      <c r="I264" s="279"/>
    </row>
    <row r="265" spans="4:11">
      <c r="D265" s="189" t="s">
        <v>260</v>
      </c>
      <c r="E265" s="188">
        <v>1</v>
      </c>
      <c r="F265" s="188" t="s">
        <v>261</v>
      </c>
      <c r="G265" s="188" t="s">
        <v>262</v>
      </c>
      <c r="H265" s="190">
        <v>58.5</v>
      </c>
      <c r="I265" s="280"/>
    </row>
    <row r="266" spans="4:11">
      <c r="D266" s="189" t="s">
        <v>263</v>
      </c>
      <c r="E266" s="188">
        <v>1</v>
      </c>
      <c r="F266" s="188" t="s">
        <v>264</v>
      </c>
      <c r="G266" s="188" t="s">
        <v>265</v>
      </c>
      <c r="H266" s="190">
        <v>52</v>
      </c>
      <c r="I266" s="280"/>
    </row>
    <row r="267" spans="4:11">
      <c r="D267" s="189" t="s">
        <v>266</v>
      </c>
      <c r="E267" s="191">
        <v>0.15</v>
      </c>
      <c r="F267" s="136"/>
      <c r="G267" s="136"/>
      <c r="H267" s="190">
        <v>51.09</v>
      </c>
      <c r="I267" s="280"/>
    </row>
    <row r="268" spans="4:11">
      <c r="D268" s="136"/>
      <c r="E268" s="136"/>
      <c r="F268" s="136"/>
      <c r="G268" s="192" t="s">
        <v>70</v>
      </c>
      <c r="H268" s="190">
        <v>391.69</v>
      </c>
      <c r="I268" s="280"/>
    </row>
    <row r="269" spans="4:11">
      <c r="I269" s="210"/>
    </row>
    <row r="270" spans="4:11">
      <c r="D270" s="484" t="s">
        <v>342</v>
      </c>
      <c r="E270" s="485"/>
      <c r="F270" s="485"/>
      <c r="G270" s="486"/>
      <c r="H270" s="490" t="s">
        <v>147</v>
      </c>
      <c r="I270" s="237"/>
    </row>
    <row r="271" spans="4:11">
      <c r="D271" s="196" t="s">
        <v>201</v>
      </c>
      <c r="E271" s="197" t="s">
        <v>269</v>
      </c>
      <c r="F271" s="197" t="s">
        <v>270</v>
      </c>
      <c r="G271" s="196" t="s">
        <v>271</v>
      </c>
      <c r="H271" s="491"/>
      <c r="I271" s="237"/>
    </row>
    <row r="272" spans="4:11">
      <c r="D272" s="470" t="s">
        <v>267</v>
      </c>
      <c r="E272" s="487">
        <v>3</v>
      </c>
      <c r="F272" s="487" t="s">
        <v>275</v>
      </c>
      <c r="G272" s="476" t="s">
        <v>274</v>
      </c>
      <c r="H272" s="500" t="s">
        <v>280</v>
      </c>
      <c r="I272" s="265"/>
    </row>
    <row r="273" spans="4:9" ht="8" customHeight="1">
      <c r="D273" s="481"/>
      <c r="E273" s="488"/>
      <c r="F273" s="488"/>
      <c r="G273" s="477"/>
      <c r="H273" s="500"/>
      <c r="I273" s="265"/>
    </row>
    <row r="274" spans="4:9" ht="5" customHeight="1">
      <c r="D274" s="471"/>
      <c r="E274" s="489"/>
      <c r="F274" s="489"/>
      <c r="G274" s="478"/>
      <c r="H274" s="501"/>
      <c r="I274" s="265"/>
    </row>
    <row r="275" spans="4:9">
      <c r="D275" s="464"/>
      <c r="E275" s="465"/>
      <c r="F275" s="465"/>
      <c r="G275" s="466"/>
      <c r="H275" s="198" t="s">
        <v>281</v>
      </c>
      <c r="I275" s="281"/>
    </row>
    <row r="276" spans="4:9">
      <c r="D276" s="436" t="s">
        <v>257</v>
      </c>
      <c r="E276" s="504">
        <v>3</v>
      </c>
      <c r="F276" s="474" t="s">
        <v>276</v>
      </c>
      <c r="G276" s="472" t="s">
        <v>272</v>
      </c>
      <c r="H276" s="502" t="s">
        <v>282</v>
      </c>
      <c r="I276" s="269"/>
    </row>
    <row r="277" spans="4:9">
      <c r="D277" s="438"/>
      <c r="E277" s="505"/>
      <c r="F277" s="475"/>
      <c r="G277" s="473"/>
      <c r="H277" s="503"/>
      <c r="I277" s="269"/>
    </row>
    <row r="278" spans="4:9">
      <c r="D278" s="467"/>
      <c r="E278" s="468"/>
      <c r="F278" s="468"/>
      <c r="G278" s="469"/>
      <c r="H278" s="199" t="s">
        <v>283</v>
      </c>
      <c r="I278" s="281"/>
    </row>
    <row r="279" spans="4:9">
      <c r="D279" s="436" t="s">
        <v>260</v>
      </c>
      <c r="E279" s="472">
        <v>1</v>
      </c>
      <c r="F279" s="507" t="s">
        <v>226</v>
      </c>
      <c r="G279" s="472" t="s">
        <v>241</v>
      </c>
      <c r="H279" s="494" t="s">
        <v>273</v>
      </c>
      <c r="I279" s="266"/>
    </row>
    <row r="280" spans="4:9">
      <c r="D280" s="438"/>
      <c r="E280" s="473"/>
      <c r="F280" s="508"/>
      <c r="G280" s="473"/>
      <c r="H280" s="495"/>
      <c r="I280" s="266"/>
    </row>
    <row r="281" spans="4:9">
      <c r="D281" s="464"/>
      <c r="E281" s="465"/>
      <c r="F281" s="465"/>
      <c r="G281" s="466"/>
      <c r="H281" s="198" t="s">
        <v>273</v>
      </c>
      <c r="I281" s="281"/>
    </row>
    <row r="282" spans="4:9">
      <c r="D282" s="436" t="s">
        <v>263</v>
      </c>
      <c r="E282" s="504">
        <v>1</v>
      </c>
      <c r="F282" s="472" t="s">
        <v>223</v>
      </c>
      <c r="G282" s="472" t="s">
        <v>277</v>
      </c>
      <c r="H282" s="494" t="s">
        <v>278</v>
      </c>
      <c r="I282" s="266"/>
    </row>
    <row r="283" spans="4:9">
      <c r="D283" s="437"/>
      <c r="E283" s="505"/>
      <c r="F283" s="473"/>
      <c r="G283" s="473"/>
      <c r="H283" s="495"/>
      <c r="I283" s="266"/>
    </row>
    <row r="284" spans="4:9">
      <c r="D284" s="200"/>
      <c r="E284" s="201"/>
      <c r="F284" s="201"/>
      <c r="G284" s="201"/>
      <c r="H284" s="202" t="s">
        <v>279</v>
      </c>
      <c r="I284" s="281"/>
    </row>
    <row r="285" spans="4:9">
      <c r="D285" s="436" t="s">
        <v>268</v>
      </c>
      <c r="E285" s="506">
        <v>0.15</v>
      </c>
      <c r="F285" s="474"/>
      <c r="G285" s="474"/>
      <c r="H285" s="494" t="s">
        <v>285</v>
      </c>
      <c r="I285" s="266"/>
    </row>
    <row r="286" spans="4:9">
      <c r="D286" s="438"/>
      <c r="E286" s="493"/>
      <c r="F286" s="475"/>
      <c r="G286" s="475"/>
      <c r="H286" s="495"/>
      <c r="I286" s="266"/>
    </row>
    <row r="287" spans="4:9">
      <c r="D287" s="206"/>
      <c r="E287" s="207"/>
      <c r="F287" s="207"/>
      <c r="G287" s="207"/>
      <c r="H287" s="205" t="s">
        <v>287</v>
      </c>
      <c r="I287" s="237"/>
    </row>
    <row r="288" spans="4:9">
      <c r="D288" s="436" t="s">
        <v>286</v>
      </c>
      <c r="E288" s="492">
        <v>1</v>
      </c>
      <c r="F288" s="474" t="s">
        <v>131</v>
      </c>
      <c r="G288" s="474" t="s">
        <v>131</v>
      </c>
      <c r="H288" s="494" t="s">
        <v>288</v>
      </c>
      <c r="I288" s="266"/>
    </row>
    <row r="289" spans="4:9">
      <c r="D289" s="438"/>
      <c r="E289" s="493"/>
      <c r="F289" s="475"/>
      <c r="G289" s="475"/>
      <c r="H289" s="495"/>
      <c r="I289" s="266"/>
    </row>
    <row r="290" spans="4:9">
      <c r="D290" s="208"/>
      <c r="H290" s="209" t="s">
        <v>289</v>
      </c>
      <c r="I290" s="237"/>
    </row>
    <row r="291" spans="4:9">
      <c r="D291" s="458" t="s">
        <v>362</v>
      </c>
      <c r="E291" s="459"/>
      <c r="F291" s="459"/>
      <c r="G291" s="496"/>
      <c r="H291" s="211" t="s">
        <v>284</v>
      </c>
      <c r="I291" s="193"/>
    </row>
    <row r="292" spans="4:9">
      <c r="D292" s="460" t="s">
        <v>290</v>
      </c>
      <c r="E292" s="461"/>
      <c r="F292" s="461"/>
      <c r="G292" s="497"/>
      <c r="H292" s="212" t="str">
        <f>H290</f>
        <v>46,37K €</v>
      </c>
      <c r="I292" s="193"/>
    </row>
    <row r="293" spans="4:9">
      <c r="D293" s="498" t="s">
        <v>343</v>
      </c>
      <c r="E293" s="499"/>
      <c r="F293" s="499"/>
      <c r="G293" s="499"/>
      <c r="H293" s="115" t="s">
        <v>292</v>
      </c>
      <c r="I293" s="193"/>
    </row>
    <row r="294" spans="4:9">
      <c r="I294" s="210"/>
    </row>
    <row r="295" spans="4:9">
      <c r="D295" s="413" t="s">
        <v>293</v>
      </c>
      <c r="E295" s="414"/>
      <c r="F295" s="415"/>
      <c r="G295" s="413" t="s">
        <v>147</v>
      </c>
      <c r="H295" s="415"/>
      <c r="I295" s="193"/>
    </row>
    <row r="296" spans="4:9" ht="30.5" customHeight="1">
      <c r="D296" s="114" t="s">
        <v>294</v>
      </c>
      <c r="E296" s="519" t="s">
        <v>295</v>
      </c>
      <c r="F296" s="520"/>
      <c r="G296" s="479" t="s">
        <v>296</v>
      </c>
      <c r="H296" s="480"/>
      <c r="I296" s="282"/>
    </row>
    <row r="297" spans="4:9" ht="28.5">
      <c r="D297" s="114" t="s">
        <v>297</v>
      </c>
      <c r="E297" s="521" t="s">
        <v>298</v>
      </c>
      <c r="F297" s="522"/>
      <c r="G297" s="479" t="s">
        <v>299</v>
      </c>
      <c r="H297" s="480"/>
      <c r="I297" s="282"/>
    </row>
    <row r="298" spans="4:9">
      <c r="D298" s="516" t="s">
        <v>300</v>
      </c>
      <c r="E298" s="518"/>
      <c r="F298" s="517"/>
      <c r="G298" s="413" t="s">
        <v>301</v>
      </c>
      <c r="H298" s="415"/>
      <c r="I298" s="193"/>
    </row>
    <row r="299" spans="4:9">
      <c r="I299" s="210"/>
    </row>
    <row r="300" spans="4:9">
      <c r="D300" s="413" t="s">
        <v>310</v>
      </c>
      <c r="E300" s="415"/>
      <c r="F300" s="195" t="s">
        <v>147</v>
      </c>
    </row>
    <row r="301" spans="4:9">
      <c r="D301" s="511" t="s">
        <v>201</v>
      </c>
      <c r="E301" s="512"/>
      <c r="F301" s="213"/>
    </row>
    <row r="302" spans="4:9" ht="14.5" customHeight="1">
      <c r="D302" s="470" t="s">
        <v>302</v>
      </c>
      <c r="E302" s="513"/>
      <c r="F302" s="215" t="s">
        <v>303</v>
      </c>
    </row>
    <row r="303" spans="4:9" ht="14.5" customHeight="1">
      <c r="D303" s="470" t="s">
        <v>125</v>
      </c>
      <c r="E303" s="513"/>
      <c r="F303" s="216" t="s">
        <v>304</v>
      </c>
    </row>
    <row r="304" spans="4:9">
      <c r="D304" s="470" t="s">
        <v>127</v>
      </c>
      <c r="E304" s="513"/>
      <c r="F304" s="216" t="s">
        <v>305</v>
      </c>
    </row>
    <row r="305" spans="4:14">
      <c r="D305" s="470" t="s">
        <v>128</v>
      </c>
      <c r="E305" s="513"/>
      <c r="F305" s="216" t="s">
        <v>306</v>
      </c>
    </row>
    <row r="306" spans="4:14">
      <c r="D306" s="514" t="s">
        <v>129</v>
      </c>
      <c r="E306" s="515"/>
      <c r="F306" s="217" t="s">
        <v>307</v>
      </c>
    </row>
    <row r="307" spans="4:14">
      <c r="D307" s="516" t="s">
        <v>308</v>
      </c>
      <c r="E307" s="517"/>
      <c r="F307" s="203" t="s">
        <v>309</v>
      </c>
    </row>
    <row r="308" spans="4:14">
      <c r="G308" t="s">
        <v>147</v>
      </c>
    </row>
    <row r="310" spans="4:14" ht="15.5">
      <c r="D310" s="238" t="s">
        <v>201</v>
      </c>
      <c r="E310" s="239" t="s">
        <v>312</v>
      </c>
      <c r="F310" s="239" t="s">
        <v>313</v>
      </c>
      <c r="G310" s="239" t="s">
        <v>314</v>
      </c>
      <c r="H310" s="239" t="s">
        <v>315</v>
      </c>
      <c r="I310" s="239" t="s">
        <v>316</v>
      </c>
      <c r="J310" s="240" t="s">
        <v>70</v>
      </c>
    </row>
    <row r="311" spans="4:14" ht="16" thickBot="1">
      <c r="D311" s="243" t="s">
        <v>319</v>
      </c>
      <c r="E311" s="241"/>
      <c r="F311" s="241"/>
      <c r="G311" s="241"/>
      <c r="H311" s="241"/>
      <c r="I311" s="241"/>
      <c r="J311" s="244"/>
    </row>
    <row r="312" spans="4:14" ht="16" thickBot="1">
      <c r="D312" s="245" t="s">
        <v>302</v>
      </c>
      <c r="E312" s="242" t="s">
        <v>303</v>
      </c>
      <c r="F312" s="242" t="s">
        <v>378</v>
      </c>
      <c r="G312" s="242" t="s">
        <v>379</v>
      </c>
      <c r="H312" s="242" t="s">
        <v>380</v>
      </c>
      <c r="I312" s="242" t="s">
        <v>189</v>
      </c>
      <c r="J312" s="246" t="s">
        <v>381</v>
      </c>
    </row>
    <row r="313" spans="4:14" ht="16" thickBot="1">
      <c r="D313" s="245" t="s">
        <v>125</v>
      </c>
      <c r="E313" s="242" t="s">
        <v>304</v>
      </c>
      <c r="F313" s="242" t="s">
        <v>403</v>
      </c>
      <c r="G313" s="242" t="s">
        <v>404</v>
      </c>
      <c r="H313" s="242" t="s">
        <v>405</v>
      </c>
      <c r="I313" s="242" t="s">
        <v>406</v>
      </c>
      <c r="J313" s="246" t="s">
        <v>277</v>
      </c>
    </row>
    <row r="314" spans="4:14" ht="16" thickBot="1">
      <c r="D314" s="245" t="s">
        <v>127</v>
      </c>
      <c r="E314" s="242" t="s">
        <v>305</v>
      </c>
      <c r="F314" s="242" t="s">
        <v>407</v>
      </c>
      <c r="G314" s="242" t="s">
        <v>408</v>
      </c>
      <c r="H314" s="242" t="s">
        <v>409</v>
      </c>
      <c r="I314" s="242" t="s">
        <v>410</v>
      </c>
      <c r="J314" s="246" t="s">
        <v>411</v>
      </c>
    </row>
    <row r="315" spans="4:14" ht="16" thickBot="1">
      <c r="D315" s="245" t="s">
        <v>317</v>
      </c>
      <c r="E315" s="242" t="s">
        <v>306</v>
      </c>
      <c r="F315" s="242" t="s">
        <v>412</v>
      </c>
      <c r="G315" s="242" t="s">
        <v>413</v>
      </c>
      <c r="H315" s="242" t="s">
        <v>414</v>
      </c>
      <c r="I315" s="242" t="s">
        <v>415</v>
      </c>
      <c r="J315" s="246" t="s">
        <v>416</v>
      </c>
    </row>
    <row r="316" spans="4:14" ht="16" thickBot="1">
      <c r="D316" s="247" t="s">
        <v>318</v>
      </c>
      <c r="E316" s="242" t="s">
        <v>307</v>
      </c>
      <c r="F316" s="242" t="s">
        <v>417</v>
      </c>
      <c r="G316" s="242" t="s">
        <v>418</v>
      </c>
      <c r="H316" s="242" t="s">
        <v>419</v>
      </c>
      <c r="I316" s="242" t="s">
        <v>420</v>
      </c>
      <c r="J316" s="246" t="s">
        <v>421</v>
      </c>
    </row>
    <row r="317" spans="4:14" ht="15.5">
      <c r="D317" s="299"/>
      <c r="E317" s="300"/>
      <c r="F317" s="300"/>
      <c r="G317" s="300"/>
      <c r="H317" s="300"/>
      <c r="I317" s="300"/>
      <c r="J317" s="301"/>
    </row>
    <row r="318" spans="4:14" ht="15.5">
      <c r="D318" s="238" t="s">
        <v>324</v>
      </c>
      <c r="E318" s="256" t="s">
        <v>309</v>
      </c>
      <c r="F318" s="256" t="s">
        <v>422</v>
      </c>
      <c r="G318" s="256" t="s">
        <v>423</v>
      </c>
      <c r="H318" s="256" t="s">
        <v>424</v>
      </c>
      <c r="I318" s="256" t="s">
        <v>425</v>
      </c>
      <c r="J318" s="248" t="s">
        <v>426</v>
      </c>
    </row>
    <row r="319" spans="4:14" ht="16" thickBot="1">
      <c r="D319" s="250" t="s">
        <v>320</v>
      </c>
      <c r="E319" s="241"/>
      <c r="F319" s="241"/>
      <c r="G319" s="241"/>
      <c r="H319" s="241"/>
      <c r="I319" s="241"/>
      <c r="J319" s="244"/>
    </row>
    <row r="320" spans="4:14" ht="16" thickBot="1">
      <c r="D320" s="245" t="s">
        <v>358</v>
      </c>
      <c r="E320" s="249" t="s">
        <v>356</v>
      </c>
      <c r="F320" s="249" t="s">
        <v>427</v>
      </c>
      <c r="G320" s="249" t="s">
        <v>428</v>
      </c>
      <c r="H320" s="249" t="s">
        <v>435</v>
      </c>
      <c r="I320" s="249" t="s">
        <v>429</v>
      </c>
      <c r="J320" s="251" t="s">
        <v>436</v>
      </c>
      <c r="N320" s="110"/>
    </row>
    <row r="321" spans="4:10" ht="16" thickBot="1">
      <c r="D321" s="247" t="s">
        <v>321</v>
      </c>
      <c r="E321" s="242" t="s">
        <v>322</v>
      </c>
      <c r="F321" s="242" t="s">
        <v>430</v>
      </c>
      <c r="G321" s="242" t="s">
        <v>431</v>
      </c>
      <c r="H321" s="242" t="s">
        <v>432</v>
      </c>
      <c r="I321" s="242" t="s">
        <v>433</v>
      </c>
      <c r="J321" s="246" t="s">
        <v>434</v>
      </c>
    </row>
    <row r="322" spans="4:10" ht="16" thickBot="1">
      <c r="D322" s="245" t="s">
        <v>121</v>
      </c>
      <c r="E322" s="242" t="s">
        <v>323</v>
      </c>
      <c r="F322" s="242" t="s">
        <v>437</v>
      </c>
      <c r="G322" s="242" t="s">
        <v>438</v>
      </c>
      <c r="H322" s="242" t="s">
        <v>439</v>
      </c>
      <c r="I322" s="242" t="s">
        <v>440</v>
      </c>
      <c r="J322" s="246" t="s">
        <v>441</v>
      </c>
    </row>
    <row r="323" spans="4:10" ht="15.5">
      <c r="D323" s="255" t="s">
        <v>357</v>
      </c>
      <c r="E323" s="293" t="s">
        <v>299</v>
      </c>
      <c r="F323" s="293" t="s">
        <v>442</v>
      </c>
      <c r="G323" s="294" t="s">
        <v>443</v>
      </c>
      <c r="H323" s="294" t="s">
        <v>444</v>
      </c>
      <c r="I323" s="294" t="s">
        <v>445</v>
      </c>
      <c r="J323" s="295" t="s">
        <v>446</v>
      </c>
    </row>
    <row r="324" spans="4:10" ht="15.5">
      <c r="D324" s="238" t="s">
        <v>325</v>
      </c>
      <c r="E324" s="256" t="s">
        <v>359</v>
      </c>
      <c r="F324" s="256" t="s">
        <v>447</v>
      </c>
      <c r="G324" s="256" t="s">
        <v>448</v>
      </c>
      <c r="H324" s="256" t="s">
        <v>449</v>
      </c>
      <c r="I324" s="256" t="s">
        <v>450</v>
      </c>
      <c r="J324" s="248" t="s">
        <v>451</v>
      </c>
    </row>
    <row r="325" spans="4:10" ht="15.5">
      <c r="D325" s="252"/>
      <c r="E325" s="285"/>
      <c r="F325" s="285"/>
      <c r="G325" s="285"/>
      <c r="H325" s="285"/>
      <c r="I325" s="285"/>
      <c r="J325" s="286"/>
    </row>
    <row r="326" spans="4:10" ht="15.5">
      <c r="D326" s="238" t="s">
        <v>311</v>
      </c>
      <c r="E326" s="296" t="s">
        <v>360</v>
      </c>
      <c r="F326" s="296" t="s">
        <v>452</v>
      </c>
      <c r="G326" s="296" t="s">
        <v>453</v>
      </c>
      <c r="H326" s="296" t="s">
        <v>454</v>
      </c>
      <c r="I326" s="296" t="s">
        <v>455</v>
      </c>
      <c r="J326" s="248" t="s">
        <v>456</v>
      </c>
    </row>
    <row r="328" spans="4:10" ht="15.5">
      <c r="D328" s="238" t="s">
        <v>201</v>
      </c>
      <c r="E328" s="239" t="s">
        <v>326</v>
      </c>
      <c r="F328" s="239" t="s">
        <v>327</v>
      </c>
      <c r="G328" s="239" t="s">
        <v>328</v>
      </c>
      <c r="H328" s="239" t="s">
        <v>329</v>
      </c>
      <c r="I328" s="239" t="s">
        <v>330</v>
      </c>
      <c r="J328" s="240" t="s">
        <v>70</v>
      </c>
    </row>
    <row r="329" spans="4:10" ht="16" thickBot="1">
      <c r="D329" s="243" t="s">
        <v>319</v>
      </c>
      <c r="E329" s="241"/>
      <c r="F329" s="241"/>
      <c r="G329" s="241"/>
      <c r="H329" s="241"/>
      <c r="I329" s="241"/>
      <c r="J329" s="244"/>
    </row>
    <row r="330" spans="4:10" ht="16" thickBot="1">
      <c r="D330" s="245" t="s">
        <v>302</v>
      </c>
      <c r="E330" s="242" t="s">
        <v>382</v>
      </c>
      <c r="F330" s="242" t="s">
        <v>383</v>
      </c>
      <c r="G330" s="242" t="s">
        <v>384</v>
      </c>
      <c r="H330" s="242" t="s">
        <v>385</v>
      </c>
      <c r="I330" s="242" t="s">
        <v>386</v>
      </c>
      <c r="J330" s="246" t="s">
        <v>387</v>
      </c>
    </row>
    <row r="331" spans="4:10" ht="16" thickBot="1">
      <c r="D331" s="245" t="s">
        <v>125</v>
      </c>
      <c r="E331" s="242" t="s">
        <v>457</v>
      </c>
      <c r="F331" s="242" t="s">
        <v>462</v>
      </c>
      <c r="G331" s="242" t="s">
        <v>463</v>
      </c>
      <c r="H331" s="242" t="s">
        <v>464</v>
      </c>
      <c r="I331" s="242" t="s">
        <v>465</v>
      </c>
      <c r="J331" s="246" t="s">
        <v>466</v>
      </c>
    </row>
    <row r="332" spans="4:10" ht="16" thickBot="1">
      <c r="D332" s="245" t="s">
        <v>127</v>
      </c>
      <c r="E332" s="242" t="s">
        <v>458</v>
      </c>
      <c r="F332" s="242" t="s">
        <v>467</v>
      </c>
      <c r="G332" s="242" t="s">
        <v>468</v>
      </c>
      <c r="H332" s="242" t="s">
        <v>469</v>
      </c>
      <c r="I332" s="242" t="s">
        <v>470</v>
      </c>
      <c r="J332" s="246" t="s">
        <v>471</v>
      </c>
    </row>
    <row r="333" spans="4:10" ht="16" thickBot="1">
      <c r="D333" s="245" t="s">
        <v>317</v>
      </c>
      <c r="E333" s="242" t="s">
        <v>459</v>
      </c>
      <c r="F333" s="242" t="s">
        <v>472</v>
      </c>
      <c r="G333" s="242" t="s">
        <v>473</v>
      </c>
      <c r="H333" s="242" t="s">
        <v>474</v>
      </c>
      <c r="I333" s="242" t="s">
        <v>475</v>
      </c>
      <c r="J333" s="246" t="s">
        <v>476</v>
      </c>
    </row>
    <row r="334" spans="4:10" ht="16" thickBot="1">
      <c r="D334" s="247" t="s">
        <v>318</v>
      </c>
      <c r="E334" s="242" t="s">
        <v>460</v>
      </c>
      <c r="F334" s="242" t="s">
        <v>477</v>
      </c>
      <c r="G334" s="242" t="s">
        <v>478</v>
      </c>
      <c r="H334" s="242" t="s">
        <v>479</v>
      </c>
      <c r="I334" s="242" t="s">
        <v>480</v>
      </c>
      <c r="J334" s="246" t="s">
        <v>481</v>
      </c>
    </row>
    <row r="335" spans="4:10" ht="15.5">
      <c r="D335" s="299"/>
      <c r="E335" s="300"/>
      <c r="F335" s="300"/>
      <c r="G335" s="300"/>
      <c r="H335" s="300"/>
      <c r="I335" s="300"/>
      <c r="J335" s="301"/>
    </row>
    <row r="336" spans="4:10" ht="15.5">
      <c r="D336" s="238" t="s">
        <v>324</v>
      </c>
      <c r="E336" s="256" t="s">
        <v>461</v>
      </c>
      <c r="F336" s="256" t="s">
        <v>482</v>
      </c>
      <c r="G336" s="256" t="s">
        <v>483</v>
      </c>
      <c r="H336" s="256" t="s">
        <v>484</v>
      </c>
      <c r="I336" s="256" t="s">
        <v>485</v>
      </c>
      <c r="J336" s="248" t="s">
        <v>486</v>
      </c>
    </row>
    <row r="337" spans="4:19" ht="16" thickBot="1">
      <c r="D337" s="250" t="s">
        <v>320</v>
      </c>
      <c r="E337" s="241"/>
      <c r="F337" s="241"/>
      <c r="G337" s="241"/>
      <c r="H337" s="241"/>
      <c r="I337" s="241"/>
      <c r="J337" s="244"/>
    </row>
    <row r="338" spans="4:19" ht="16" thickBot="1">
      <c r="D338" s="245" t="s">
        <v>358</v>
      </c>
      <c r="E338" s="249" t="s">
        <v>487</v>
      </c>
      <c r="F338" s="249" t="s">
        <v>492</v>
      </c>
      <c r="G338" s="249" t="s">
        <v>493</v>
      </c>
      <c r="H338" s="249" t="s">
        <v>494</v>
      </c>
      <c r="I338" s="249" t="s">
        <v>495</v>
      </c>
      <c r="J338" s="251" t="s">
        <v>496</v>
      </c>
    </row>
    <row r="339" spans="4:19" ht="16" thickBot="1">
      <c r="D339" s="247" t="s">
        <v>321</v>
      </c>
      <c r="E339" s="242" t="s">
        <v>488</v>
      </c>
      <c r="F339" s="242" t="s">
        <v>497</v>
      </c>
      <c r="G339" s="242" t="s">
        <v>498</v>
      </c>
      <c r="H339" s="242" t="s">
        <v>499</v>
      </c>
      <c r="I339" s="242" t="s">
        <v>500</v>
      </c>
      <c r="J339" s="246" t="s">
        <v>501</v>
      </c>
    </row>
    <row r="340" spans="4:19" ht="16" thickBot="1">
      <c r="D340" s="245" t="s">
        <v>121</v>
      </c>
      <c r="E340" s="242" t="s">
        <v>489</v>
      </c>
      <c r="F340" s="242" t="s">
        <v>502</v>
      </c>
      <c r="G340" s="242" t="s">
        <v>503</v>
      </c>
      <c r="H340" s="242" t="s">
        <v>504</v>
      </c>
      <c r="I340" s="242" t="s">
        <v>505</v>
      </c>
      <c r="J340" s="246" t="s">
        <v>506</v>
      </c>
    </row>
    <row r="341" spans="4:19" ht="15.5">
      <c r="D341" s="255" t="s">
        <v>357</v>
      </c>
      <c r="E341" s="293" t="s">
        <v>490</v>
      </c>
      <c r="F341" s="293" t="s">
        <v>507</v>
      </c>
      <c r="G341" s="294" t="s">
        <v>508</v>
      </c>
      <c r="H341" s="294" t="s">
        <v>509</v>
      </c>
      <c r="I341" s="294" t="s">
        <v>510</v>
      </c>
      <c r="J341" s="295" t="s">
        <v>511</v>
      </c>
    </row>
    <row r="342" spans="4:19" ht="15.5">
      <c r="D342" s="238" t="s">
        <v>325</v>
      </c>
      <c r="E342" s="256" t="s">
        <v>491</v>
      </c>
      <c r="F342" s="256" t="s">
        <v>513</v>
      </c>
      <c r="G342" s="256" t="s">
        <v>514</v>
      </c>
      <c r="H342" s="256" t="s">
        <v>515</v>
      </c>
      <c r="I342" s="256" t="s">
        <v>516</v>
      </c>
      <c r="J342" s="248" t="s">
        <v>512</v>
      </c>
    </row>
    <row r="343" spans="4:19" ht="15.5">
      <c r="D343" s="252"/>
      <c r="E343" s="253"/>
      <c r="F343" s="253"/>
      <c r="G343" s="253"/>
      <c r="H343" s="253"/>
      <c r="I343" s="253"/>
      <c r="J343" s="254"/>
    </row>
    <row r="344" spans="4:19" ht="15.5">
      <c r="D344" s="238" t="s">
        <v>311</v>
      </c>
      <c r="E344" s="296" t="s">
        <v>584</v>
      </c>
      <c r="F344" s="296" t="s">
        <v>517</v>
      </c>
      <c r="G344" s="296" t="s">
        <v>585</v>
      </c>
      <c r="H344" s="296" t="s">
        <v>586</v>
      </c>
      <c r="I344" s="296" t="s">
        <v>587</v>
      </c>
      <c r="J344" s="248" t="s">
        <v>588</v>
      </c>
    </row>
    <row r="346" spans="4:19" ht="15.5">
      <c r="D346" s="238" t="s">
        <v>201</v>
      </c>
      <c r="E346" s="239" t="s">
        <v>388</v>
      </c>
      <c r="F346" s="239" t="s">
        <v>389</v>
      </c>
      <c r="G346" s="239" t="s">
        <v>390</v>
      </c>
      <c r="H346" s="239" t="s">
        <v>391</v>
      </c>
      <c r="I346" s="239" t="s">
        <v>392</v>
      </c>
      <c r="J346" s="240" t="s">
        <v>70</v>
      </c>
    </row>
    <row r="347" spans="4:19" ht="16" thickBot="1">
      <c r="D347" s="243" t="s">
        <v>319</v>
      </c>
      <c r="E347" s="241"/>
      <c r="F347" s="241"/>
      <c r="G347" s="241"/>
      <c r="H347" s="241"/>
      <c r="I347" s="241"/>
      <c r="J347" s="244"/>
    </row>
    <row r="348" spans="4:19" ht="16" thickBot="1">
      <c r="D348" s="245" t="s">
        <v>302</v>
      </c>
      <c r="E348" s="242" t="s">
        <v>519</v>
      </c>
      <c r="F348" s="242" t="s">
        <v>520</v>
      </c>
      <c r="G348" s="242" t="s">
        <v>521</v>
      </c>
      <c r="H348" s="242" t="s">
        <v>522</v>
      </c>
      <c r="I348" s="242" t="s">
        <v>523</v>
      </c>
      <c r="J348" s="246" t="s">
        <v>524</v>
      </c>
    </row>
    <row r="349" spans="4:19" ht="16" thickBot="1">
      <c r="D349" s="245" t="s">
        <v>125</v>
      </c>
      <c r="E349" s="242" t="s">
        <v>525</v>
      </c>
      <c r="F349" s="242" t="s">
        <v>533</v>
      </c>
      <c r="G349" s="242" t="s">
        <v>534</v>
      </c>
      <c r="H349" s="242" t="s">
        <v>535</v>
      </c>
      <c r="I349" s="242" t="s">
        <v>536</v>
      </c>
      <c r="J349" s="246" t="s">
        <v>537</v>
      </c>
    </row>
    <row r="350" spans="4:19" ht="16" thickBot="1">
      <c r="D350" s="245" t="s">
        <v>127</v>
      </c>
      <c r="E350" s="242" t="s">
        <v>526</v>
      </c>
      <c r="F350" s="242" t="s">
        <v>538</v>
      </c>
      <c r="G350" s="242" t="s">
        <v>539</v>
      </c>
      <c r="H350" s="242" t="s">
        <v>540</v>
      </c>
      <c r="I350" s="242" t="s">
        <v>541</v>
      </c>
      <c r="J350" s="246" t="s">
        <v>542</v>
      </c>
      <c r="P350" s="484" t="s">
        <v>347</v>
      </c>
      <c r="Q350" s="485"/>
      <c r="R350" s="486"/>
      <c r="S350" s="204"/>
    </row>
    <row r="351" spans="4:19" ht="32" customHeight="1" thickBot="1">
      <c r="D351" s="245" t="s">
        <v>317</v>
      </c>
      <c r="E351" s="242" t="s">
        <v>527</v>
      </c>
      <c r="F351" s="242" t="s">
        <v>543</v>
      </c>
      <c r="G351" s="242" t="s">
        <v>544</v>
      </c>
      <c r="H351" s="242" t="s">
        <v>545</v>
      </c>
      <c r="I351" s="242" t="s">
        <v>546</v>
      </c>
      <c r="J351" s="246" t="s">
        <v>547</v>
      </c>
      <c r="P351" s="283"/>
      <c r="Q351" s="194" t="s">
        <v>201</v>
      </c>
      <c r="R351" s="214" t="s">
        <v>349</v>
      </c>
      <c r="S351" s="204"/>
    </row>
    <row r="352" spans="4:19" ht="16" thickBot="1">
      <c r="D352" s="247" t="s">
        <v>318</v>
      </c>
      <c r="E352" s="242" t="s">
        <v>528</v>
      </c>
      <c r="F352" s="242" t="s">
        <v>548</v>
      </c>
      <c r="G352" s="242" t="s">
        <v>549</v>
      </c>
      <c r="H352" s="242" t="s">
        <v>550</v>
      </c>
      <c r="I352" s="242" t="s">
        <v>551</v>
      </c>
      <c r="J352" s="246" t="s">
        <v>552</v>
      </c>
      <c r="P352" s="117" t="s">
        <v>345</v>
      </c>
      <c r="Q352" s="155" t="s">
        <v>346</v>
      </c>
      <c r="R352" s="284" t="s">
        <v>348</v>
      </c>
      <c r="S352" s="204"/>
    </row>
    <row r="353" spans="4:18" ht="15.5">
      <c r="D353" s="299"/>
      <c r="E353" s="300"/>
      <c r="F353" s="300"/>
      <c r="G353" s="300"/>
      <c r="H353" s="300"/>
      <c r="I353" s="300"/>
      <c r="J353" s="301"/>
      <c r="P353" s="464"/>
      <c r="Q353" s="465"/>
      <c r="R353" s="466"/>
    </row>
    <row r="354" spans="4:18" ht="15.5">
      <c r="D354" s="238" t="s">
        <v>324</v>
      </c>
      <c r="E354" s="256" t="s">
        <v>553</v>
      </c>
      <c r="F354" s="256" t="s">
        <v>554</v>
      </c>
      <c r="G354" s="256" t="s">
        <v>555</v>
      </c>
      <c r="H354" s="256" t="s">
        <v>556</v>
      </c>
      <c r="I354" s="256" t="s">
        <v>557</v>
      </c>
      <c r="J354" s="248" t="s">
        <v>595</v>
      </c>
      <c r="P354" s="490" t="s">
        <v>350</v>
      </c>
      <c r="Q354" s="523" t="s">
        <v>351</v>
      </c>
      <c r="R354" s="487" t="s">
        <v>223</v>
      </c>
    </row>
    <row r="355" spans="4:18" ht="16" thickBot="1">
      <c r="D355" s="250" t="s">
        <v>320</v>
      </c>
      <c r="E355" s="241"/>
      <c r="F355" s="241"/>
      <c r="G355" s="241"/>
      <c r="H355" s="241"/>
      <c r="I355" s="241"/>
      <c r="J355" s="244"/>
      <c r="P355" s="491"/>
      <c r="Q355" s="524"/>
      <c r="R355" s="489"/>
    </row>
    <row r="356" spans="4:18" ht="16" thickBot="1">
      <c r="D356" s="245" t="s">
        <v>358</v>
      </c>
      <c r="E356" s="249" t="s">
        <v>529</v>
      </c>
      <c r="F356" s="249" t="s">
        <v>558</v>
      </c>
      <c r="G356" s="249" t="s">
        <v>559</v>
      </c>
      <c r="H356" s="249" t="s">
        <v>560</v>
      </c>
      <c r="I356" s="249" t="s">
        <v>561</v>
      </c>
      <c r="J356" s="251" t="s">
        <v>562</v>
      </c>
      <c r="P356" s="464"/>
      <c r="Q356" s="465"/>
      <c r="R356" s="466"/>
    </row>
    <row r="357" spans="4:18" ht="14.5" customHeight="1" thickBot="1">
      <c r="D357" s="247" t="s">
        <v>321</v>
      </c>
      <c r="E357" s="242" t="s">
        <v>530</v>
      </c>
      <c r="F357" s="242" t="s">
        <v>563</v>
      </c>
      <c r="G357" s="242" t="s">
        <v>564</v>
      </c>
      <c r="H357" s="242" t="s">
        <v>565</v>
      </c>
      <c r="I357" s="242" t="s">
        <v>566</v>
      </c>
      <c r="J357" s="246" t="s">
        <v>567</v>
      </c>
      <c r="P357" s="436" t="s">
        <v>352</v>
      </c>
      <c r="Q357" s="472" t="s">
        <v>353</v>
      </c>
      <c r="R357" s="525" t="s">
        <v>354</v>
      </c>
    </row>
    <row r="358" spans="4:18" ht="16" thickBot="1">
      <c r="D358" s="245" t="s">
        <v>121</v>
      </c>
      <c r="E358" s="242" t="s">
        <v>531</v>
      </c>
      <c r="F358" s="242" t="s">
        <v>569</v>
      </c>
      <c r="G358" s="242" t="s">
        <v>568</v>
      </c>
      <c r="H358" s="242" t="s">
        <v>570</v>
      </c>
      <c r="I358" s="242" t="s">
        <v>571</v>
      </c>
      <c r="J358" s="246" t="s">
        <v>572</v>
      </c>
      <c r="P358" s="438"/>
      <c r="Q358" s="473"/>
      <c r="R358" s="526"/>
    </row>
    <row r="359" spans="4:18" ht="15.5">
      <c r="D359" s="255" t="s">
        <v>357</v>
      </c>
      <c r="E359" s="293" t="s">
        <v>532</v>
      </c>
      <c r="F359" s="293" t="s">
        <v>573</v>
      </c>
      <c r="G359" s="294" t="s">
        <v>574</v>
      </c>
      <c r="H359" s="294" t="s">
        <v>575</v>
      </c>
      <c r="I359" s="294" t="s">
        <v>576</v>
      </c>
      <c r="J359" s="295" t="s">
        <v>577</v>
      </c>
      <c r="P359" s="498" t="s">
        <v>355</v>
      </c>
      <c r="Q359" s="499"/>
      <c r="R359" s="115" t="s">
        <v>356</v>
      </c>
    </row>
    <row r="360" spans="4:18" ht="15.5">
      <c r="D360" s="238" t="s">
        <v>325</v>
      </c>
      <c r="E360" s="256" t="s">
        <v>578</v>
      </c>
      <c r="F360" s="256" t="s">
        <v>579</v>
      </c>
      <c r="G360" s="256" t="s">
        <v>580</v>
      </c>
      <c r="H360" s="256" t="s">
        <v>581</v>
      </c>
      <c r="I360" s="256" t="s">
        <v>582</v>
      </c>
      <c r="J360" s="248" t="s">
        <v>594</v>
      </c>
    </row>
    <row r="361" spans="4:18" ht="15.5">
      <c r="D361" s="252"/>
      <c r="E361" s="285"/>
      <c r="F361" s="285"/>
      <c r="G361" s="285"/>
      <c r="H361" s="285"/>
      <c r="I361" s="285"/>
      <c r="J361" s="254"/>
    </row>
    <row r="362" spans="4:18" ht="15.5">
      <c r="D362" s="238" t="s">
        <v>311</v>
      </c>
      <c r="E362" s="296" t="s">
        <v>583</v>
      </c>
      <c r="F362" s="296" t="s">
        <v>589</v>
      </c>
      <c r="G362" s="296" t="s">
        <v>590</v>
      </c>
      <c r="H362" s="296" t="s">
        <v>591</v>
      </c>
      <c r="I362" s="296" t="s">
        <v>592</v>
      </c>
      <c r="J362" s="248" t="s">
        <v>593</v>
      </c>
    </row>
    <row r="364" spans="4:18" ht="15.5">
      <c r="D364" s="238" t="s">
        <v>201</v>
      </c>
      <c r="E364" s="239" t="s">
        <v>393</v>
      </c>
      <c r="F364" s="239" t="s">
        <v>394</v>
      </c>
      <c r="G364" s="239" t="s">
        <v>395</v>
      </c>
      <c r="H364" s="239" t="s">
        <v>396</v>
      </c>
      <c r="I364" s="239" t="s">
        <v>397</v>
      </c>
      <c r="J364" s="240" t="s">
        <v>70</v>
      </c>
    </row>
    <row r="365" spans="4:18" ht="16" thickBot="1">
      <c r="D365" s="243" t="s">
        <v>319</v>
      </c>
      <c r="E365" s="241"/>
      <c r="F365" s="241"/>
      <c r="G365" s="241"/>
      <c r="H365" s="241"/>
      <c r="I365" s="241"/>
      <c r="J365" s="244"/>
    </row>
    <row r="366" spans="4:18" ht="16" thickBot="1">
      <c r="D366" s="245" t="s">
        <v>302</v>
      </c>
      <c r="E366" s="242" t="s">
        <v>596</v>
      </c>
      <c r="F366" s="242" t="s">
        <v>604</v>
      </c>
      <c r="G366" s="242" t="s">
        <v>605</v>
      </c>
      <c r="H366" s="242" t="s">
        <v>606</v>
      </c>
      <c r="I366" s="242" t="s">
        <v>607</v>
      </c>
      <c r="J366" s="246" t="s">
        <v>608</v>
      </c>
    </row>
    <row r="367" spans="4:18" ht="16" thickBot="1">
      <c r="D367" s="245" t="s">
        <v>125</v>
      </c>
      <c r="E367" s="242" t="s">
        <v>597</v>
      </c>
      <c r="F367" s="242" t="s">
        <v>609</v>
      </c>
      <c r="G367" s="242" t="s">
        <v>610</v>
      </c>
      <c r="H367" s="242" t="s">
        <v>611</v>
      </c>
      <c r="I367" s="242" t="s">
        <v>612</v>
      </c>
      <c r="J367" s="246" t="s">
        <v>613</v>
      </c>
    </row>
    <row r="368" spans="4:18" ht="16" thickBot="1">
      <c r="D368" s="245" t="s">
        <v>127</v>
      </c>
      <c r="E368" s="242" t="s">
        <v>598</v>
      </c>
      <c r="F368" s="242" t="s">
        <v>614</v>
      </c>
      <c r="G368" s="242" t="s">
        <v>615</v>
      </c>
      <c r="H368" s="242" t="s">
        <v>616</v>
      </c>
      <c r="I368" s="242" t="s">
        <v>617</v>
      </c>
      <c r="J368" s="246" t="s">
        <v>618</v>
      </c>
    </row>
    <row r="369" spans="4:20" ht="16" thickBot="1">
      <c r="D369" s="245" t="s">
        <v>317</v>
      </c>
      <c r="E369" s="242" t="s">
        <v>599</v>
      </c>
      <c r="F369" s="242" t="s">
        <v>619</v>
      </c>
      <c r="G369" s="242" t="s">
        <v>620</v>
      </c>
      <c r="H369" s="242" t="s">
        <v>621</v>
      </c>
      <c r="I369" s="242" t="s">
        <v>622</v>
      </c>
      <c r="J369" s="246" t="s">
        <v>624</v>
      </c>
      <c r="K369" s="287"/>
    </row>
    <row r="370" spans="4:20" ht="16" thickBot="1">
      <c r="D370" s="247" t="s">
        <v>318</v>
      </c>
      <c r="E370" s="242" t="s">
        <v>331</v>
      </c>
      <c r="F370" s="242" t="s">
        <v>625</v>
      </c>
      <c r="G370" s="242" t="s">
        <v>626</v>
      </c>
      <c r="H370" s="242" t="s">
        <v>627</v>
      </c>
      <c r="I370" s="242" t="s">
        <v>628</v>
      </c>
      <c r="J370" s="246" t="s">
        <v>629</v>
      </c>
    </row>
    <row r="371" spans="4:20" ht="15.5">
      <c r="D371" s="299"/>
      <c r="E371" s="300"/>
      <c r="F371" s="300"/>
      <c r="G371" s="300"/>
      <c r="H371" s="300"/>
      <c r="I371" s="300"/>
      <c r="J371" s="301"/>
    </row>
    <row r="372" spans="4:20" ht="15.5">
      <c r="D372" s="238" t="s">
        <v>324</v>
      </c>
      <c r="E372" s="256" t="s">
        <v>630</v>
      </c>
      <c r="F372" s="256" t="s">
        <v>631</v>
      </c>
      <c r="G372" s="256" t="s">
        <v>632</v>
      </c>
      <c r="H372" s="256" t="s">
        <v>633</v>
      </c>
      <c r="I372" s="256" t="s">
        <v>634</v>
      </c>
      <c r="J372" s="248" t="s">
        <v>660</v>
      </c>
    </row>
    <row r="373" spans="4:20" ht="16" thickBot="1">
      <c r="D373" s="250" t="s">
        <v>320</v>
      </c>
      <c r="E373" s="241"/>
      <c r="F373" s="241"/>
      <c r="G373" s="241"/>
      <c r="H373" s="241"/>
      <c r="I373" s="241"/>
      <c r="J373" s="244"/>
    </row>
    <row r="374" spans="4:20" ht="28" customHeight="1" thickTop="1" thickBot="1">
      <c r="D374" s="245" t="s">
        <v>358</v>
      </c>
      <c r="E374" s="249" t="s">
        <v>600</v>
      </c>
      <c r="F374" s="249" t="s">
        <v>635</v>
      </c>
      <c r="G374" s="249" t="s">
        <v>636</v>
      </c>
      <c r="H374" s="249" t="s">
        <v>637</v>
      </c>
      <c r="I374" s="249" t="s">
        <v>638</v>
      </c>
      <c r="J374" s="251" t="s">
        <v>639</v>
      </c>
      <c r="P374" s="288" t="s">
        <v>363</v>
      </c>
      <c r="Q374" s="288" t="s">
        <v>364</v>
      </c>
      <c r="R374" s="288" t="s">
        <v>365</v>
      </c>
      <c r="S374" s="288" t="s">
        <v>366</v>
      </c>
      <c r="T374" s="288" t="s">
        <v>373</v>
      </c>
    </row>
    <row r="375" spans="4:20" ht="16.5" thickTop="1" thickBot="1">
      <c r="D375" s="247" t="s">
        <v>321</v>
      </c>
      <c r="E375" s="242" t="s">
        <v>601</v>
      </c>
      <c r="F375" s="242" t="s">
        <v>640</v>
      </c>
      <c r="G375" s="242" t="s">
        <v>641</v>
      </c>
      <c r="H375" s="242" t="s">
        <v>642</v>
      </c>
      <c r="I375" s="242" t="s">
        <v>643</v>
      </c>
      <c r="J375" s="246" t="s">
        <v>644</v>
      </c>
      <c r="P375" s="289" t="s">
        <v>367</v>
      </c>
      <c r="Q375" s="289">
        <v>0</v>
      </c>
      <c r="R375" s="289" t="s">
        <v>368</v>
      </c>
      <c r="S375" s="289" t="s">
        <v>369</v>
      </c>
      <c r="T375" s="289">
        <v>0</v>
      </c>
    </row>
    <row r="376" spans="4:20" ht="16.5" thickTop="1" thickBot="1">
      <c r="D376" s="245" t="s">
        <v>121</v>
      </c>
      <c r="E376" s="242" t="s">
        <v>602</v>
      </c>
      <c r="F376" s="242" t="s">
        <v>646</v>
      </c>
      <c r="G376" s="242" t="s">
        <v>645</v>
      </c>
      <c r="H376" s="242" t="s">
        <v>647</v>
      </c>
      <c r="I376" s="242" t="s">
        <v>648</v>
      </c>
      <c r="J376" s="246" t="s">
        <v>649</v>
      </c>
      <c r="P376" s="289">
        <v>3</v>
      </c>
      <c r="Q376" s="289">
        <v>40</v>
      </c>
      <c r="R376" s="289" t="s">
        <v>370</v>
      </c>
      <c r="S376" s="289" t="s">
        <v>369</v>
      </c>
      <c r="T376" s="289" t="s">
        <v>377</v>
      </c>
    </row>
    <row r="377" spans="4:20" ht="16.5" thickTop="1" thickBot="1">
      <c r="D377" s="255" t="s">
        <v>357</v>
      </c>
      <c r="E377" s="293" t="s">
        <v>603</v>
      </c>
      <c r="F377" s="293" t="s">
        <v>650</v>
      </c>
      <c r="G377" s="294" t="s">
        <v>651</v>
      </c>
      <c r="H377" s="294" t="s">
        <v>652</v>
      </c>
      <c r="I377" s="294" t="s">
        <v>653</v>
      </c>
      <c r="J377" s="295" t="s">
        <v>654</v>
      </c>
      <c r="P377" s="289">
        <v>4</v>
      </c>
      <c r="Q377" s="289">
        <v>80</v>
      </c>
      <c r="R377" s="289" t="s">
        <v>371</v>
      </c>
      <c r="S377" s="289" t="s">
        <v>369</v>
      </c>
      <c r="T377" s="289" t="s">
        <v>375</v>
      </c>
    </row>
    <row r="378" spans="4:20" ht="16.5" thickTop="1" thickBot="1">
      <c r="D378" s="238" t="s">
        <v>325</v>
      </c>
      <c r="E378" s="256" t="s">
        <v>655</v>
      </c>
      <c r="F378" s="256" t="s">
        <v>656</v>
      </c>
      <c r="G378" s="256" t="s">
        <v>657</v>
      </c>
      <c r="H378" s="256" t="s">
        <v>658</v>
      </c>
      <c r="I378" s="256" t="s">
        <v>659</v>
      </c>
      <c r="J378" s="248" t="s">
        <v>667</v>
      </c>
      <c r="P378" s="290" t="s">
        <v>374</v>
      </c>
      <c r="Q378" s="289">
        <v>100</v>
      </c>
      <c r="R378" s="289" t="s">
        <v>372</v>
      </c>
      <c r="S378" s="289" t="s">
        <v>369</v>
      </c>
      <c r="T378" s="289" t="s">
        <v>376</v>
      </c>
    </row>
    <row r="379" spans="4:20" ht="16" thickTop="1">
      <c r="D379" s="252"/>
      <c r="E379" s="285"/>
      <c r="F379" s="285"/>
      <c r="G379" s="285"/>
      <c r="H379" s="285"/>
      <c r="I379" s="285"/>
      <c r="J379" s="254"/>
    </row>
    <row r="380" spans="4:20" ht="15.5">
      <c r="D380" s="238" t="s">
        <v>311</v>
      </c>
      <c r="E380" s="296" t="s">
        <v>661</v>
      </c>
      <c r="F380" s="296" t="s">
        <v>662</v>
      </c>
      <c r="G380" s="296" t="s">
        <v>663</v>
      </c>
      <c r="H380" s="296" t="s">
        <v>664</v>
      </c>
      <c r="I380" s="296" t="s">
        <v>665</v>
      </c>
      <c r="J380" s="248" t="s">
        <v>666</v>
      </c>
    </row>
    <row r="382" spans="4:20" ht="15.5">
      <c r="D382" s="238" t="s">
        <v>201</v>
      </c>
      <c r="E382" s="239" t="s">
        <v>398</v>
      </c>
      <c r="F382" s="239" t="s">
        <v>399</v>
      </c>
      <c r="G382" s="239" t="s">
        <v>400</v>
      </c>
      <c r="H382" s="239" t="s">
        <v>401</v>
      </c>
      <c r="I382" s="239" t="s">
        <v>402</v>
      </c>
      <c r="J382" s="240" t="s">
        <v>70</v>
      </c>
    </row>
    <row r="383" spans="4:20" ht="16" thickBot="1">
      <c r="D383" s="243" t="s">
        <v>319</v>
      </c>
      <c r="E383" s="241"/>
      <c r="F383" s="241"/>
      <c r="G383" s="241"/>
      <c r="H383" s="241"/>
      <c r="I383" s="241"/>
      <c r="J383" s="244"/>
    </row>
    <row r="384" spans="4:20" ht="16" thickBot="1">
      <c r="D384" s="245" t="s">
        <v>302</v>
      </c>
      <c r="E384" s="242" t="s">
        <v>668</v>
      </c>
      <c r="F384" s="242" t="s">
        <v>676</v>
      </c>
      <c r="G384" s="242" t="s">
        <v>677</v>
      </c>
      <c r="H384" s="242" t="s">
        <v>678</v>
      </c>
      <c r="I384" s="242" t="s">
        <v>679</v>
      </c>
      <c r="J384" s="246" t="s">
        <v>680</v>
      </c>
    </row>
    <row r="385" spans="4:10" ht="16" thickBot="1">
      <c r="D385" s="245" t="s">
        <v>125</v>
      </c>
      <c r="E385" s="242" t="s">
        <v>669</v>
      </c>
      <c r="F385" s="242" t="s">
        <v>681</v>
      </c>
      <c r="G385" s="242" t="s">
        <v>682</v>
      </c>
      <c r="H385" s="242" t="s">
        <v>683</v>
      </c>
      <c r="I385" s="242" t="s">
        <v>684</v>
      </c>
      <c r="J385" s="246" t="s">
        <v>685</v>
      </c>
    </row>
    <row r="386" spans="4:10" ht="16" thickBot="1">
      <c r="D386" s="245" t="s">
        <v>127</v>
      </c>
      <c r="E386" s="242" t="s">
        <v>670</v>
      </c>
      <c r="F386" s="242" t="s">
        <v>686</v>
      </c>
      <c r="G386" s="242" t="s">
        <v>687</v>
      </c>
      <c r="H386" s="242" t="s">
        <v>688</v>
      </c>
      <c r="I386" s="242" t="s">
        <v>689</v>
      </c>
      <c r="J386" s="246" t="s">
        <v>690</v>
      </c>
    </row>
    <row r="387" spans="4:10" ht="16" thickBot="1">
      <c r="D387" s="245" t="s">
        <v>317</v>
      </c>
      <c r="E387" s="242" t="s">
        <v>623</v>
      </c>
      <c r="F387" s="242" t="s">
        <v>691</v>
      </c>
      <c r="G387" s="242" t="s">
        <v>692</v>
      </c>
      <c r="H387" s="242" t="s">
        <v>693</v>
      </c>
      <c r="I387" s="242" t="s">
        <v>694</v>
      </c>
      <c r="J387" s="246" t="s">
        <v>695</v>
      </c>
    </row>
    <row r="388" spans="4:10" ht="16" thickBot="1">
      <c r="D388" s="247" t="s">
        <v>318</v>
      </c>
      <c r="E388" s="242" t="s">
        <v>671</v>
      </c>
      <c r="F388" s="242" t="s">
        <v>696</v>
      </c>
      <c r="G388" s="242" t="s">
        <v>697</v>
      </c>
      <c r="H388" s="242" t="s">
        <v>698</v>
      </c>
      <c r="I388" s="242" t="s">
        <v>699</v>
      </c>
      <c r="J388" s="246" t="s">
        <v>700</v>
      </c>
    </row>
    <row r="389" spans="4:10" ht="15.5">
      <c r="D389" s="299"/>
      <c r="E389" s="300"/>
      <c r="F389" s="300"/>
      <c r="G389" s="300"/>
      <c r="H389" s="300"/>
      <c r="I389" s="300"/>
      <c r="J389" s="301"/>
    </row>
    <row r="390" spans="4:10" ht="15.5">
      <c r="D390" s="238" t="s">
        <v>324</v>
      </c>
      <c r="E390" s="256" t="s">
        <v>724</v>
      </c>
      <c r="F390" s="256" t="s">
        <v>701</v>
      </c>
      <c r="G390" s="256" t="s">
        <v>732</v>
      </c>
      <c r="H390" s="256" t="s">
        <v>734</v>
      </c>
      <c r="I390" s="256" t="s">
        <v>735</v>
      </c>
      <c r="J390" s="248" t="s">
        <v>736</v>
      </c>
    </row>
    <row r="391" spans="4:10" ht="16" thickBot="1">
      <c r="D391" s="250" t="s">
        <v>320</v>
      </c>
      <c r="E391" s="241"/>
      <c r="F391" s="241"/>
      <c r="G391" s="241"/>
      <c r="H391" s="241"/>
      <c r="I391" s="241"/>
      <c r="J391" s="244"/>
    </row>
    <row r="392" spans="4:10" ht="16" thickBot="1">
      <c r="D392" s="245" t="s">
        <v>358</v>
      </c>
      <c r="E392" s="249" t="s">
        <v>672</v>
      </c>
      <c r="F392" s="249" t="s">
        <v>702</v>
      </c>
      <c r="G392" s="249" t="s">
        <v>703</v>
      </c>
      <c r="H392" s="249" t="s">
        <v>704</v>
      </c>
      <c r="I392" s="249" t="s">
        <v>705</v>
      </c>
      <c r="J392" s="251" t="s">
        <v>706</v>
      </c>
    </row>
    <row r="393" spans="4:10" ht="16" thickBot="1">
      <c r="D393" s="247" t="s">
        <v>321</v>
      </c>
      <c r="E393" s="242" t="s">
        <v>673</v>
      </c>
      <c r="F393" s="242" t="s">
        <v>361</v>
      </c>
      <c r="G393" s="242" t="s">
        <v>707</v>
      </c>
      <c r="H393" s="242" t="s">
        <v>708</v>
      </c>
      <c r="I393" s="242" t="s">
        <v>501</v>
      </c>
      <c r="J393" s="246" t="s">
        <v>709</v>
      </c>
    </row>
    <row r="394" spans="4:10" ht="16" thickBot="1">
      <c r="D394" s="245" t="s">
        <v>121</v>
      </c>
      <c r="E394" s="242" t="s">
        <v>674</v>
      </c>
      <c r="F394" s="242" t="s">
        <v>710</v>
      </c>
      <c r="G394" s="242" t="s">
        <v>711</v>
      </c>
      <c r="H394" s="242" t="s">
        <v>712</v>
      </c>
      <c r="I394" s="242" t="s">
        <v>713</v>
      </c>
      <c r="J394" s="246" t="s">
        <v>714</v>
      </c>
    </row>
    <row r="395" spans="4:10" ht="15.5">
      <c r="D395" s="255" t="s">
        <v>357</v>
      </c>
      <c r="E395" s="293" t="s">
        <v>675</v>
      </c>
      <c r="F395" s="293" t="s">
        <v>715</v>
      </c>
      <c r="G395" s="294" t="s">
        <v>716</v>
      </c>
      <c r="H395" s="294" t="s">
        <v>717</v>
      </c>
      <c r="I395" s="294" t="s">
        <v>718</v>
      </c>
      <c r="J395" s="295" t="s">
        <v>719</v>
      </c>
    </row>
    <row r="396" spans="4:10" ht="15.5">
      <c r="D396" s="238" t="s">
        <v>325</v>
      </c>
      <c r="E396" s="256" t="s">
        <v>725</v>
      </c>
      <c r="F396" s="256" t="s">
        <v>720</v>
      </c>
      <c r="G396" s="256" t="s">
        <v>731</v>
      </c>
      <c r="H396" s="256" t="s">
        <v>733</v>
      </c>
      <c r="I396" s="256" t="s">
        <v>721</v>
      </c>
      <c r="J396" s="248" t="s">
        <v>722</v>
      </c>
    </row>
    <row r="397" spans="4:10" ht="15.5">
      <c r="D397" s="252"/>
      <c r="E397" s="285"/>
      <c r="F397" s="285"/>
      <c r="G397" s="285"/>
      <c r="H397" s="285"/>
      <c r="I397" s="285"/>
      <c r="J397" s="254"/>
    </row>
    <row r="398" spans="4:10" ht="15.5">
      <c r="D398" s="238" t="s">
        <v>311</v>
      </c>
      <c r="E398" s="296" t="s">
        <v>723</v>
      </c>
      <c r="F398" s="296" t="s">
        <v>726</v>
      </c>
      <c r="G398" s="296" t="s">
        <v>727</v>
      </c>
      <c r="H398" s="296" t="s">
        <v>728</v>
      </c>
      <c r="I398" s="296" t="s">
        <v>729</v>
      </c>
      <c r="J398" s="248" t="s">
        <v>730</v>
      </c>
    </row>
  </sheetData>
  <mergeCells count="496">
    <mergeCell ref="Q137:Q138"/>
    <mergeCell ref="P359:Q359"/>
    <mergeCell ref="P354:P355"/>
    <mergeCell ref="P357:P358"/>
    <mergeCell ref="T159:T160"/>
    <mergeCell ref="O161:O162"/>
    <mergeCell ref="P161:P162"/>
    <mergeCell ref="Q161:Q162"/>
    <mergeCell ref="R161:R162"/>
    <mergeCell ref="S161:S162"/>
    <mergeCell ref="T161:T162"/>
    <mergeCell ref="O165:O166"/>
    <mergeCell ref="O167:O168"/>
    <mergeCell ref="P350:R350"/>
    <mergeCell ref="Q354:Q355"/>
    <mergeCell ref="R354:R355"/>
    <mergeCell ref="Q357:Q358"/>
    <mergeCell ref="R357:R358"/>
    <mergeCell ref="P353:R353"/>
    <mergeCell ref="P356:R356"/>
    <mergeCell ref="Q147:Q148"/>
    <mergeCell ref="Q153:Q154"/>
    <mergeCell ref="T137:T138"/>
    <mergeCell ref="T165:T166"/>
    <mergeCell ref="D335:J335"/>
    <mergeCell ref="Q108:Q109"/>
    <mergeCell ref="O159:O160"/>
    <mergeCell ref="P159:P160"/>
    <mergeCell ref="Q159:Q160"/>
    <mergeCell ref="R159:R160"/>
    <mergeCell ref="S159:S160"/>
    <mergeCell ref="D300:E300"/>
    <mergeCell ref="D301:E301"/>
    <mergeCell ref="D302:E302"/>
    <mergeCell ref="D303:E303"/>
    <mergeCell ref="D304:E304"/>
    <mergeCell ref="D317:J317"/>
    <mergeCell ref="D305:E305"/>
    <mergeCell ref="D306:E306"/>
    <mergeCell ref="D307:E307"/>
    <mergeCell ref="D298:F298"/>
    <mergeCell ref="G298:H298"/>
    <mergeCell ref="D295:F295"/>
    <mergeCell ref="G295:H295"/>
    <mergeCell ref="E296:F296"/>
    <mergeCell ref="G296:H296"/>
    <mergeCell ref="E297:F297"/>
    <mergeCell ref="S125:S126"/>
    <mergeCell ref="G288:G289"/>
    <mergeCell ref="D291:G291"/>
    <mergeCell ref="D292:G292"/>
    <mergeCell ref="D293:G293"/>
    <mergeCell ref="H272:H274"/>
    <mergeCell ref="H276:H277"/>
    <mergeCell ref="H279:H280"/>
    <mergeCell ref="H282:H283"/>
    <mergeCell ref="H285:H286"/>
    <mergeCell ref="E276:E277"/>
    <mergeCell ref="E279:E280"/>
    <mergeCell ref="E282:E283"/>
    <mergeCell ref="E285:E286"/>
    <mergeCell ref="D279:D280"/>
    <mergeCell ref="D281:G281"/>
    <mergeCell ref="D282:D283"/>
    <mergeCell ref="D285:D286"/>
    <mergeCell ref="E272:E274"/>
    <mergeCell ref="F279:F280"/>
    <mergeCell ref="F282:F283"/>
    <mergeCell ref="F285:F286"/>
    <mergeCell ref="G272:G274"/>
    <mergeCell ref="G276:G277"/>
    <mergeCell ref="G279:G280"/>
    <mergeCell ref="G282:G283"/>
    <mergeCell ref="G285:G286"/>
    <mergeCell ref="G297:H297"/>
    <mergeCell ref="D248:D249"/>
    <mergeCell ref="D251:D253"/>
    <mergeCell ref="D255:D257"/>
    <mergeCell ref="D259:G259"/>
    <mergeCell ref="D270:G270"/>
    <mergeCell ref="D272:D274"/>
    <mergeCell ref="D275:G275"/>
    <mergeCell ref="D276:D277"/>
    <mergeCell ref="D278:G278"/>
    <mergeCell ref="F272:F274"/>
    <mergeCell ref="F276:F277"/>
    <mergeCell ref="H270:H271"/>
    <mergeCell ref="D288:D289"/>
    <mergeCell ref="E288:E289"/>
    <mergeCell ref="F288:F289"/>
    <mergeCell ref="H288:H289"/>
    <mergeCell ref="D230:G230"/>
    <mergeCell ref="D232:D234"/>
    <mergeCell ref="D235:G235"/>
    <mergeCell ref="D236:D237"/>
    <mergeCell ref="D238:G238"/>
    <mergeCell ref="D239:D240"/>
    <mergeCell ref="D241:G241"/>
    <mergeCell ref="D242:D243"/>
    <mergeCell ref="D245:D246"/>
    <mergeCell ref="D224:D227"/>
    <mergeCell ref="F224:F225"/>
    <mergeCell ref="G224:G225"/>
    <mergeCell ref="H224:H225"/>
    <mergeCell ref="D181:F181"/>
    <mergeCell ref="G181:H181"/>
    <mergeCell ref="D182:D183"/>
    <mergeCell ref="E182:F182"/>
    <mergeCell ref="E183:F183"/>
    <mergeCell ref="G182:H182"/>
    <mergeCell ref="G183:H183"/>
    <mergeCell ref="G184:H184"/>
    <mergeCell ref="D184:F184"/>
    <mergeCell ref="D185:D186"/>
    <mergeCell ref="E185:F185"/>
    <mergeCell ref="E186:F186"/>
    <mergeCell ref="G185:H185"/>
    <mergeCell ref="G186:H186"/>
    <mergeCell ref="G187:H187"/>
    <mergeCell ref="D187:F187"/>
    <mergeCell ref="D188:F188"/>
    <mergeCell ref="G188:H188"/>
    <mergeCell ref="D216:D219"/>
    <mergeCell ref="F216:F217"/>
    <mergeCell ref="G216:G217"/>
    <mergeCell ref="H216:H217"/>
    <mergeCell ref="F218:F219"/>
    <mergeCell ref="G218:G219"/>
    <mergeCell ref="H218:H219"/>
    <mergeCell ref="D220:D223"/>
    <mergeCell ref="F220:F221"/>
    <mergeCell ref="G220:G221"/>
    <mergeCell ref="H220:H221"/>
    <mergeCell ref="D208:D211"/>
    <mergeCell ref="F208:F209"/>
    <mergeCell ref="G208:G209"/>
    <mergeCell ref="H208:H209"/>
    <mergeCell ref="F210:F211"/>
    <mergeCell ref="G210:G211"/>
    <mergeCell ref="H210:H211"/>
    <mergeCell ref="D212:D215"/>
    <mergeCell ref="F212:F213"/>
    <mergeCell ref="G212:G213"/>
    <mergeCell ref="H212:H213"/>
    <mergeCell ref="F214:F215"/>
    <mergeCell ref="G214:G215"/>
    <mergeCell ref="H214:H215"/>
    <mergeCell ref="E177:F177"/>
    <mergeCell ref="D201:D203"/>
    <mergeCell ref="F202:F203"/>
    <mergeCell ref="G202:G203"/>
    <mergeCell ref="H202:H203"/>
    <mergeCell ref="D204:D207"/>
    <mergeCell ref="F204:F205"/>
    <mergeCell ref="G204:G205"/>
    <mergeCell ref="H204:H205"/>
    <mergeCell ref="F206:F207"/>
    <mergeCell ref="G206:G207"/>
    <mergeCell ref="H206:H207"/>
    <mergeCell ref="D195:D200"/>
    <mergeCell ref="F195:F196"/>
    <mergeCell ref="G195:G196"/>
    <mergeCell ref="H195:H196"/>
    <mergeCell ref="F197:F198"/>
    <mergeCell ref="G197:G198"/>
    <mergeCell ref="H197:H198"/>
    <mergeCell ref="F199:F200"/>
    <mergeCell ref="G199:G200"/>
    <mergeCell ref="H199:H200"/>
    <mergeCell ref="E178:F178"/>
    <mergeCell ref="E179:F179"/>
    <mergeCell ref="E180:F180"/>
    <mergeCell ref="G169:H169"/>
    <mergeCell ref="D169:F169"/>
    <mergeCell ref="D170:D171"/>
    <mergeCell ref="E170:F170"/>
    <mergeCell ref="E171:F171"/>
    <mergeCell ref="G170:H170"/>
    <mergeCell ref="G171:H171"/>
    <mergeCell ref="D172:F172"/>
    <mergeCell ref="G172:H172"/>
    <mergeCell ref="G173:H173"/>
    <mergeCell ref="G174:H174"/>
    <mergeCell ref="G175:H175"/>
    <mergeCell ref="G176:H176"/>
    <mergeCell ref="G177:H177"/>
    <mergeCell ref="G178:H178"/>
    <mergeCell ref="G179:H179"/>
    <mergeCell ref="G180:H180"/>
    <mergeCell ref="D173:D180"/>
    <mergeCell ref="E173:F173"/>
    <mergeCell ref="E174:F174"/>
    <mergeCell ref="E175:F175"/>
    <mergeCell ref="E176:F176"/>
    <mergeCell ref="D163:D168"/>
    <mergeCell ref="E163:F163"/>
    <mergeCell ref="E164:F164"/>
    <mergeCell ref="E165:F165"/>
    <mergeCell ref="E166:F166"/>
    <mergeCell ref="E167:F167"/>
    <mergeCell ref="E168:F168"/>
    <mergeCell ref="G163:H163"/>
    <mergeCell ref="G164:H164"/>
    <mergeCell ref="G165:H165"/>
    <mergeCell ref="G166:H166"/>
    <mergeCell ref="G167:H167"/>
    <mergeCell ref="G168:H168"/>
    <mergeCell ref="D162:F162"/>
    <mergeCell ref="G162:H162"/>
    <mergeCell ref="O141:O142"/>
    <mergeCell ref="P141:P142"/>
    <mergeCell ref="R141:R142"/>
    <mergeCell ref="S141:S142"/>
    <mergeCell ref="O153:O154"/>
    <mergeCell ref="P153:P154"/>
    <mergeCell ref="R153:R154"/>
    <mergeCell ref="S153:S154"/>
    <mergeCell ref="Q141:Q142"/>
    <mergeCell ref="O155:O156"/>
    <mergeCell ref="O157:O158"/>
    <mergeCell ref="P155:P156"/>
    <mergeCell ref="Q155:Q156"/>
    <mergeCell ref="R155:R156"/>
    <mergeCell ref="S155:S156"/>
    <mergeCell ref="O135:O136"/>
    <mergeCell ref="P135:P136"/>
    <mergeCell ref="R135:R136"/>
    <mergeCell ref="S135:S136"/>
    <mergeCell ref="T135:T136"/>
    <mergeCell ref="O129:O130"/>
    <mergeCell ref="O131:O132"/>
    <mergeCell ref="P131:P132"/>
    <mergeCell ref="R131:R132"/>
    <mergeCell ref="S131:S132"/>
    <mergeCell ref="Q133:Q134"/>
    <mergeCell ref="Q135:Q136"/>
    <mergeCell ref="T131:T132"/>
    <mergeCell ref="Q129:Q130"/>
    <mergeCell ref="Q131:Q132"/>
    <mergeCell ref="P129:P130"/>
    <mergeCell ref="R129:R130"/>
    <mergeCell ref="S129:S130"/>
    <mergeCell ref="T129:T130"/>
    <mergeCell ref="O133:O134"/>
    <mergeCell ref="P133:P134"/>
    <mergeCell ref="R133:R134"/>
    <mergeCell ref="S133:S134"/>
    <mergeCell ref="T133:T134"/>
    <mergeCell ref="W3:Y3"/>
    <mergeCell ref="W14:Y14"/>
    <mergeCell ref="T125:T126"/>
    <mergeCell ref="O127:O128"/>
    <mergeCell ref="P127:P128"/>
    <mergeCell ref="R127:R128"/>
    <mergeCell ref="S127:S128"/>
    <mergeCell ref="T127:T128"/>
    <mergeCell ref="Q125:Q126"/>
    <mergeCell ref="Q127:Q128"/>
    <mergeCell ref="R121:R122"/>
    <mergeCell ref="Q117:Q118"/>
    <mergeCell ref="Q119:Q120"/>
    <mergeCell ref="Q121:Q122"/>
    <mergeCell ref="Q123:Q124"/>
    <mergeCell ref="O125:O126"/>
    <mergeCell ref="P125:P126"/>
    <mergeCell ref="O107:P107"/>
    <mergeCell ref="O108:P109"/>
    <mergeCell ref="R108:R109"/>
    <mergeCell ref="S121:S122"/>
    <mergeCell ref="R125:R126"/>
    <mergeCell ref="G104:G105"/>
    <mergeCell ref="T121:T122"/>
    <mergeCell ref="O123:O124"/>
    <mergeCell ref="P123:P124"/>
    <mergeCell ref="R123:R124"/>
    <mergeCell ref="S123:S124"/>
    <mergeCell ref="T123:T124"/>
    <mergeCell ref="T117:T118"/>
    <mergeCell ref="O119:O120"/>
    <mergeCell ref="P119:P120"/>
    <mergeCell ref="R119:R120"/>
    <mergeCell ref="S119:S120"/>
    <mergeCell ref="T119:T120"/>
    <mergeCell ref="O117:O118"/>
    <mergeCell ref="P117:P118"/>
    <mergeCell ref="R117:R118"/>
    <mergeCell ref="S117:S118"/>
    <mergeCell ref="O121:O122"/>
    <mergeCell ref="P121:P122"/>
    <mergeCell ref="H104:H105"/>
    <mergeCell ref="N108:N109"/>
    <mergeCell ref="D106:D108"/>
    <mergeCell ref="D102:D105"/>
    <mergeCell ref="D100:D101"/>
    <mergeCell ref="H92:H93"/>
    <mergeCell ref="D94:D96"/>
    <mergeCell ref="F95:F96"/>
    <mergeCell ref="G95:G96"/>
    <mergeCell ref="H95:H96"/>
    <mergeCell ref="D90:D93"/>
    <mergeCell ref="F90:F91"/>
    <mergeCell ref="G90:G91"/>
    <mergeCell ref="H90:H91"/>
    <mergeCell ref="F92:F93"/>
    <mergeCell ref="G92:G93"/>
    <mergeCell ref="F106:F108"/>
    <mergeCell ref="G106:G108"/>
    <mergeCell ref="H106:H108"/>
    <mergeCell ref="F100:F101"/>
    <mergeCell ref="G100:G101"/>
    <mergeCell ref="H100:H101"/>
    <mergeCell ref="F102:F103"/>
    <mergeCell ref="G102:G103"/>
    <mergeCell ref="H102:H103"/>
    <mergeCell ref="F104:F105"/>
    <mergeCell ref="D81:D82"/>
    <mergeCell ref="F81:F82"/>
    <mergeCell ref="G81:G82"/>
    <mergeCell ref="H81:H82"/>
    <mergeCell ref="D74:D75"/>
    <mergeCell ref="F74:F75"/>
    <mergeCell ref="G74:G75"/>
    <mergeCell ref="H74:H75"/>
    <mergeCell ref="D78:D79"/>
    <mergeCell ref="F78:F79"/>
    <mergeCell ref="G78:G79"/>
    <mergeCell ref="H78:H79"/>
    <mergeCell ref="D70:D71"/>
    <mergeCell ref="F70:F71"/>
    <mergeCell ref="G70:G71"/>
    <mergeCell ref="H70:H71"/>
    <mergeCell ref="D72:D73"/>
    <mergeCell ref="F72:F73"/>
    <mergeCell ref="G72:G73"/>
    <mergeCell ref="H72:H73"/>
    <mergeCell ref="D66:D67"/>
    <mergeCell ref="F66:F67"/>
    <mergeCell ref="G66:G67"/>
    <mergeCell ref="H66:H67"/>
    <mergeCell ref="D68:D69"/>
    <mergeCell ref="F68:F69"/>
    <mergeCell ref="G68:G69"/>
    <mergeCell ref="H68:H69"/>
    <mergeCell ref="D62:D63"/>
    <mergeCell ref="F62:F63"/>
    <mergeCell ref="G62:G63"/>
    <mergeCell ref="H62:H63"/>
    <mergeCell ref="D64:D65"/>
    <mergeCell ref="F64:F65"/>
    <mergeCell ref="G64:G65"/>
    <mergeCell ref="H64:H65"/>
    <mergeCell ref="D58:D59"/>
    <mergeCell ref="F58:F59"/>
    <mergeCell ref="G58:G59"/>
    <mergeCell ref="H58:H59"/>
    <mergeCell ref="D60:D61"/>
    <mergeCell ref="F60:F61"/>
    <mergeCell ref="G60:G61"/>
    <mergeCell ref="H60:H61"/>
    <mergeCell ref="D51:D52"/>
    <mergeCell ref="F51:F52"/>
    <mergeCell ref="G51:G52"/>
    <mergeCell ref="H51:H52"/>
    <mergeCell ref="D55:D56"/>
    <mergeCell ref="F55:F56"/>
    <mergeCell ref="G55:G56"/>
    <mergeCell ref="H55:H56"/>
    <mergeCell ref="D47:D48"/>
    <mergeCell ref="F47:F48"/>
    <mergeCell ref="G47:G48"/>
    <mergeCell ref="H47:H48"/>
    <mergeCell ref="D49:D50"/>
    <mergeCell ref="F49:F50"/>
    <mergeCell ref="G49:G50"/>
    <mergeCell ref="H49:H50"/>
    <mergeCell ref="D38:D41"/>
    <mergeCell ref="F38:F39"/>
    <mergeCell ref="G38:G39"/>
    <mergeCell ref="H38:H39"/>
    <mergeCell ref="D7:D12"/>
    <mergeCell ref="D13:D15"/>
    <mergeCell ref="D16:D19"/>
    <mergeCell ref="D22:D25"/>
    <mergeCell ref="D26:D29"/>
    <mergeCell ref="D30:D33"/>
    <mergeCell ref="F34:F35"/>
    <mergeCell ref="G34:G35"/>
    <mergeCell ref="H34:H35"/>
    <mergeCell ref="D34:D37"/>
    <mergeCell ref="F30:F31"/>
    <mergeCell ref="G30:G31"/>
    <mergeCell ref="H30:H31"/>
    <mergeCell ref="F32:F33"/>
    <mergeCell ref="G32:G33"/>
    <mergeCell ref="H32:H33"/>
    <mergeCell ref="F26:F27"/>
    <mergeCell ref="G26:G27"/>
    <mergeCell ref="H26:H27"/>
    <mergeCell ref="F28:F29"/>
    <mergeCell ref="G28:G29"/>
    <mergeCell ref="H28:H29"/>
    <mergeCell ref="F22:F23"/>
    <mergeCell ref="G22:G23"/>
    <mergeCell ref="H22:H23"/>
    <mergeCell ref="F24:F25"/>
    <mergeCell ref="G24:G25"/>
    <mergeCell ref="H24:H25"/>
    <mergeCell ref="F16:F17"/>
    <mergeCell ref="G16:G17"/>
    <mergeCell ref="H16:H17"/>
    <mergeCell ref="F18:F19"/>
    <mergeCell ref="G18:G19"/>
    <mergeCell ref="H18:H19"/>
    <mergeCell ref="F11:F12"/>
    <mergeCell ref="G11:G12"/>
    <mergeCell ref="H11:H12"/>
    <mergeCell ref="F14:F15"/>
    <mergeCell ref="G14:G15"/>
    <mergeCell ref="H14:H15"/>
    <mergeCell ref="F7:F8"/>
    <mergeCell ref="G7:G8"/>
    <mergeCell ref="H7:H8"/>
    <mergeCell ref="F9:F10"/>
    <mergeCell ref="G9:G10"/>
    <mergeCell ref="H9:H10"/>
    <mergeCell ref="P167:P168"/>
    <mergeCell ref="Q167:Q168"/>
    <mergeCell ref="R167:R168"/>
    <mergeCell ref="S167:S168"/>
    <mergeCell ref="T167:T168"/>
    <mergeCell ref="T141:T142"/>
    <mergeCell ref="O149:O150"/>
    <mergeCell ref="P149:P150"/>
    <mergeCell ref="Q149:Q150"/>
    <mergeCell ref="R149:R150"/>
    <mergeCell ref="S149:S150"/>
    <mergeCell ref="T149:T150"/>
    <mergeCell ref="O151:O152"/>
    <mergeCell ref="P151:P152"/>
    <mergeCell ref="Q151:Q152"/>
    <mergeCell ref="R151:R152"/>
    <mergeCell ref="S151:S152"/>
    <mergeCell ref="T151:T152"/>
    <mergeCell ref="T153:T154"/>
    <mergeCell ref="O143:O144"/>
    <mergeCell ref="P143:P144"/>
    <mergeCell ref="R143:R144"/>
    <mergeCell ref="S143:S144"/>
    <mergeCell ref="T139:T140"/>
    <mergeCell ref="O163:O164"/>
    <mergeCell ref="P163:P164"/>
    <mergeCell ref="Q163:Q164"/>
    <mergeCell ref="R163:R164"/>
    <mergeCell ref="S163:S164"/>
    <mergeCell ref="T163:T164"/>
    <mergeCell ref="T155:T156"/>
    <mergeCell ref="P157:P158"/>
    <mergeCell ref="Q157:Q158"/>
    <mergeCell ref="R157:R158"/>
    <mergeCell ref="S157:S158"/>
    <mergeCell ref="T157:T158"/>
    <mergeCell ref="T143:T144"/>
    <mergeCell ref="O145:O146"/>
    <mergeCell ref="P145:P146"/>
    <mergeCell ref="R145:R146"/>
    <mergeCell ref="S145:S146"/>
    <mergeCell ref="T145:T146"/>
    <mergeCell ref="O147:O148"/>
    <mergeCell ref="P147:P148"/>
    <mergeCell ref="R147:R148"/>
    <mergeCell ref="S147:S148"/>
    <mergeCell ref="T147:T148"/>
    <mergeCell ref="D353:J353"/>
    <mergeCell ref="D371:J371"/>
    <mergeCell ref="D389:J389"/>
    <mergeCell ref="S108:S109"/>
    <mergeCell ref="O110:S110"/>
    <mergeCell ref="O139:O140"/>
    <mergeCell ref="P139:P140"/>
    <mergeCell ref="Q139:Q140"/>
    <mergeCell ref="R139:R140"/>
    <mergeCell ref="S139:S140"/>
    <mergeCell ref="P165:P166"/>
    <mergeCell ref="Q165:Q166"/>
    <mergeCell ref="R165:R166"/>
    <mergeCell ref="S165:S166"/>
    <mergeCell ref="D109:D112"/>
    <mergeCell ref="F109:F110"/>
    <mergeCell ref="G109:G110"/>
    <mergeCell ref="H109:H110"/>
    <mergeCell ref="O137:O138"/>
    <mergeCell ref="P137:P138"/>
    <mergeCell ref="R137:R138"/>
    <mergeCell ref="S137:S138"/>
    <mergeCell ref="Q143:Q144"/>
    <mergeCell ref="Q145:Q146"/>
  </mergeCells>
  <pageMargins left="0.25" right="0.25" top="0.75" bottom="0.75" header="0.3" footer="0.3"/>
  <pageSetup paperSize="9" scale="21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DEC3EEDB36734098E55D077E5C3584" ma:contentTypeVersion="12" ma:contentTypeDescription="Crear nuevo documento." ma:contentTypeScope="" ma:versionID="6e75157145cec557c773da329691c24c">
  <xsd:schema xmlns:xsd="http://www.w3.org/2001/XMLSchema" xmlns:xs="http://www.w3.org/2001/XMLSchema" xmlns:p="http://schemas.microsoft.com/office/2006/metadata/properties" xmlns:ns2="0b4b1c4d-6bb0-4ef4-b5bc-519edc72ffe9" xmlns:ns3="c841b233-7233-448a-ba0a-1f28b3423e96" targetNamespace="http://schemas.microsoft.com/office/2006/metadata/properties" ma:root="true" ma:fieldsID="24bc60d0dfdfa5b4d280ec53884c48de" ns2:_="" ns3:_="">
    <xsd:import namespace="0b4b1c4d-6bb0-4ef4-b5bc-519edc72ffe9"/>
    <xsd:import namespace="c841b233-7233-448a-ba0a-1f28b3423e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b1c4d-6bb0-4ef4-b5bc-519edc72ff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132446be-fb6d-4adf-bbdb-82041c28dc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41b233-7233-448a-ba0a-1f28b3423e9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92fdde-a9eb-40d5-95b3-97fe10386f85}" ma:internalName="TaxCatchAll" ma:showField="CatchAllData" ma:web="c841b233-7233-448a-ba0a-1f28b3423e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41b233-7233-448a-ba0a-1f28b3423e96" xsi:nil="true"/>
    <lcf76f155ced4ddcb4097134ff3c332f xmlns="0b4b1c4d-6bb0-4ef4-b5bc-519edc72ffe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AAE83B-9902-4D10-8B6B-D521897A2173}"/>
</file>

<file path=customXml/itemProps2.xml><?xml version="1.0" encoding="utf-8"?>
<ds:datastoreItem xmlns:ds="http://schemas.openxmlformats.org/officeDocument/2006/customXml" ds:itemID="{0B1BB484-2DA1-4671-9C54-04D719FAF9AA}"/>
</file>

<file path=customXml/itemProps3.xml><?xml version="1.0" encoding="utf-8"?>
<ds:datastoreItem xmlns:ds="http://schemas.openxmlformats.org/officeDocument/2006/customXml" ds:itemID="{9AB4E6D7-C470-4317-82F6-B2540CE26F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Alfonso Morales P</dc:creator>
  <cp:lastModifiedBy>Alfonso Morales P</cp:lastModifiedBy>
  <cp:lastPrinted>2024-10-23T19:07:24Z</cp:lastPrinted>
  <dcterms:created xsi:type="dcterms:W3CDTF">2024-09-06T21:22:38Z</dcterms:created>
  <dcterms:modified xsi:type="dcterms:W3CDTF">2024-10-24T06:39:09Z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0x0101009EDEC3EEDB36734098E55D077E5C3584</vt:lpwstr>
  </property>
  <property fmtid="{D5CDD505-2E9C-101B-9397-08002B2CF9AE}" pid="3" name="Order">
    <vt:r8>5803400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</Properties>
</file>